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20" windowWidth="14040" windowHeight="8700" tabRatio="801"/>
  </bookViews>
  <sheets>
    <sheet name="Table of Contents" sheetId="19" r:id="rId1"/>
    <sheet name="Broccoli" sheetId="1" r:id="rId2"/>
    <sheet name="Cabbage" sheetId="2" r:id="rId3"/>
    <sheet name="Cucumber" sheetId="3" r:id="rId4"/>
    <sheet name="Cucumber-Trellis" sheetId="4" r:id="rId5"/>
    <sheet name="Eggplant" sheetId="5" r:id="rId6"/>
    <sheet name="Muskmelon" sheetId="6" r:id="rId7"/>
    <sheet name="Okra" sheetId="7" r:id="rId8"/>
    <sheet name="Pepper" sheetId="8" r:id="rId9"/>
    <sheet name="Pepper-Jalepeno" sheetId="9" r:id="rId10"/>
    <sheet name="Potato" sheetId="10" r:id="rId11"/>
    <sheet name="Pumpkin" sheetId="11" r:id="rId12"/>
    <sheet name="Squash-Summer" sheetId="12" r:id="rId13"/>
    <sheet name="Squash-Winter" sheetId="15" r:id="rId14"/>
    <sheet name="Sweet Corn" sheetId="14" r:id="rId15"/>
    <sheet name="Sweetpotato" sheetId="20" r:id="rId16"/>
    <sheet name="Tomato" sheetId="18" r:id="rId17"/>
    <sheet name="Watermelon" sheetId="16" r:id="rId18"/>
    <sheet name="Watermelon-Sdless" sheetId="17" r:id="rId19"/>
  </sheets>
  <definedNames>
    <definedName name="Broccoli">Broccoli!$B$2</definedName>
    <definedName name="Cabbage">Cabbage!$B$2</definedName>
    <definedName name="Contents">'Table of Contents'!$E$14</definedName>
    <definedName name="Cucumber">Cucumber!$B$2</definedName>
    <definedName name="Cucumber_trellised">'Cucumber-Trellis'!$B$2</definedName>
    <definedName name="Eggplant">Eggplant!$B$2</definedName>
    <definedName name="Muskmelon">Muskmelon!$B$2</definedName>
    <definedName name="Okra">Okra!$B$2</definedName>
    <definedName name="OLE_LINK1" localSheetId="0">'Table of Contents'!$B$42</definedName>
    <definedName name="Pepper">Pepper!$B$2</definedName>
    <definedName name="Pepper_Jalepeno">'Pepper-Jalepeno'!$B$2</definedName>
    <definedName name="Potato">Potato!$B$2</definedName>
    <definedName name="_xlnm.Print_Area" localSheetId="1">Broccoli!$A$1:$G$63</definedName>
    <definedName name="Pumpkin">Pumpkin!$B$2</definedName>
    <definedName name="Squash_summer">'Squash-Summer'!$B$2</definedName>
    <definedName name="Squash_winter">'Squash-Winter'!$B$2</definedName>
    <definedName name="Sweet_corn" localSheetId="15">Sweetpotato!$B$2</definedName>
    <definedName name="Sweet_corn">'Sweet Corn'!$B$2</definedName>
    <definedName name="Tomato">Tomato!$B$2</definedName>
    <definedName name="Watermelon">Watermelon!$B$2</definedName>
    <definedName name="Watermelon_seedless">'Watermelon-Sdless'!$B$2</definedName>
  </definedNames>
  <calcPr calcId="145621" concurrentCalc="0"/>
</workbook>
</file>

<file path=xl/calcChain.xml><?xml version="1.0" encoding="utf-8"?>
<calcChain xmlns="http://schemas.openxmlformats.org/spreadsheetml/2006/main">
  <c r="F10" i="20" l="1"/>
  <c r="F11" i="20"/>
  <c r="F12" i="20"/>
  <c r="F17" i="20"/>
  <c r="F18" i="20"/>
  <c r="F19" i="20"/>
  <c r="F20" i="20"/>
  <c r="F21" i="20"/>
  <c r="F22" i="20"/>
  <c r="F23" i="20"/>
  <c r="F24" i="20"/>
  <c r="F25" i="20"/>
  <c r="F26" i="20"/>
  <c r="F29" i="20"/>
  <c r="C12" i="20"/>
  <c r="C30" i="20"/>
  <c r="F30" i="20"/>
  <c r="F32" i="20"/>
  <c r="E33" i="20"/>
  <c r="F33" i="20"/>
  <c r="F34" i="20"/>
  <c r="F36" i="20"/>
  <c r="F38" i="20"/>
  <c r="F40" i="20"/>
  <c r="F46" i="20"/>
  <c r="F49" i="20"/>
  <c r="F50" i="20"/>
  <c r="F52" i="20"/>
  <c r="F54" i="20"/>
  <c r="F42" i="20"/>
  <c r="F56" i="20"/>
  <c r="F58" i="20"/>
  <c r="F15" i="18"/>
  <c r="F16" i="18"/>
  <c r="F17" i="18"/>
  <c r="F18" i="18"/>
  <c r="F19" i="18"/>
  <c r="F20" i="18"/>
  <c r="F21" i="18"/>
  <c r="F22" i="18"/>
  <c r="E23" i="18"/>
  <c r="F23" i="18"/>
  <c r="F24" i="18"/>
  <c r="F25" i="18"/>
  <c r="F26" i="18"/>
  <c r="E27" i="18"/>
  <c r="F27" i="18"/>
  <c r="F28" i="18"/>
  <c r="C31" i="18"/>
  <c r="F31" i="18"/>
  <c r="F32" i="18"/>
  <c r="F33" i="18"/>
  <c r="F34" i="18"/>
  <c r="F36" i="18"/>
  <c r="F37" i="18"/>
  <c r="F10" i="18"/>
  <c r="F38" i="18"/>
  <c r="C39" i="18"/>
  <c r="F39" i="18"/>
  <c r="F40" i="18"/>
  <c r="F42" i="18"/>
  <c r="F15" i="14"/>
  <c r="F16" i="14"/>
  <c r="F17" i="14"/>
  <c r="F18" i="14"/>
  <c r="F19" i="14"/>
  <c r="F20" i="14"/>
  <c r="F21" i="14"/>
  <c r="F22" i="14"/>
  <c r="E23" i="14"/>
  <c r="F23" i="14"/>
  <c r="F24" i="14"/>
  <c r="C27" i="14"/>
  <c r="F27" i="14"/>
  <c r="F29" i="14"/>
  <c r="F30" i="14"/>
  <c r="F10" i="14"/>
  <c r="F31" i="14"/>
  <c r="C32" i="14"/>
  <c r="F32" i="14"/>
  <c r="F33" i="14"/>
  <c r="F35" i="14"/>
  <c r="F15" i="15"/>
  <c r="F16" i="15"/>
  <c r="F17" i="15"/>
  <c r="F18" i="15"/>
  <c r="F19" i="15"/>
  <c r="F20" i="15"/>
  <c r="F21" i="15"/>
  <c r="F22" i="15"/>
  <c r="F23" i="15"/>
  <c r="F24" i="15"/>
  <c r="C27" i="15"/>
  <c r="F27" i="15"/>
  <c r="F28" i="15"/>
  <c r="F29" i="15"/>
  <c r="F31" i="15"/>
  <c r="F10" i="15"/>
  <c r="F32" i="15"/>
  <c r="C33" i="15"/>
  <c r="F33" i="15"/>
  <c r="F34" i="15"/>
  <c r="F36" i="15"/>
  <c r="F15" i="11"/>
  <c r="F16" i="11"/>
  <c r="F17" i="11"/>
  <c r="F18" i="11"/>
  <c r="F19" i="11"/>
  <c r="F20" i="11"/>
  <c r="F21" i="11"/>
  <c r="F22" i="11"/>
  <c r="F23" i="11"/>
  <c r="F27" i="11"/>
  <c r="F10" i="11"/>
  <c r="F28" i="11"/>
  <c r="C29" i="11"/>
  <c r="F29" i="11"/>
  <c r="F30" i="11"/>
  <c r="F32" i="11"/>
  <c r="F15" i="9"/>
  <c r="F16" i="9"/>
  <c r="F17" i="9"/>
  <c r="F18" i="9"/>
  <c r="F19" i="9"/>
  <c r="F23" i="9"/>
  <c r="F24" i="9"/>
  <c r="F25" i="9"/>
  <c r="C28" i="9"/>
  <c r="F28" i="9"/>
  <c r="F29" i="9"/>
  <c r="F30" i="9"/>
  <c r="F32" i="9"/>
  <c r="F10" i="9"/>
  <c r="F33" i="9"/>
  <c r="F34" i="9"/>
  <c r="C35" i="9"/>
  <c r="F35" i="9"/>
  <c r="F36" i="9"/>
  <c r="F38" i="9"/>
  <c r="F15" i="8"/>
  <c r="F16" i="8"/>
  <c r="F17" i="8"/>
  <c r="F18" i="8"/>
  <c r="F19" i="8"/>
  <c r="F23" i="8"/>
  <c r="F24" i="8"/>
  <c r="F25" i="8"/>
  <c r="C28" i="8"/>
  <c r="F28" i="8"/>
  <c r="F29" i="8"/>
  <c r="F30" i="8"/>
  <c r="F32" i="8"/>
  <c r="F33" i="8"/>
  <c r="F10" i="8"/>
  <c r="F34" i="8"/>
  <c r="F35" i="8"/>
  <c r="C36" i="8"/>
  <c r="F36" i="8"/>
  <c r="F37" i="8"/>
  <c r="F39" i="8"/>
  <c r="F15" i="7"/>
  <c r="F16" i="7"/>
  <c r="F17" i="7"/>
  <c r="F18" i="7"/>
  <c r="F19" i="7"/>
  <c r="F20" i="7"/>
  <c r="F21" i="7"/>
  <c r="F22" i="7"/>
  <c r="F23" i="7"/>
  <c r="F24" i="7"/>
  <c r="E25" i="7"/>
  <c r="F25" i="7"/>
  <c r="F26" i="7"/>
  <c r="C29" i="7"/>
  <c r="F29" i="7"/>
  <c r="F30" i="7"/>
  <c r="F31" i="7"/>
  <c r="F33" i="7"/>
  <c r="F34" i="7"/>
  <c r="F10" i="7"/>
  <c r="F35" i="7"/>
  <c r="F36" i="7"/>
  <c r="C37" i="7"/>
  <c r="F37" i="7"/>
  <c r="F38" i="7"/>
  <c r="F40" i="7"/>
  <c r="F15" i="5"/>
  <c r="F16" i="5"/>
  <c r="F17" i="5"/>
  <c r="F18" i="5"/>
  <c r="F22" i="5"/>
  <c r="F23" i="5"/>
  <c r="E24" i="5"/>
  <c r="F24" i="5"/>
  <c r="F25" i="5"/>
  <c r="C28" i="5"/>
  <c r="F28" i="5"/>
  <c r="F29" i="5"/>
  <c r="F30" i="5"/>
  <c r="F32" i="5"/>
  <c r="F33" i="5"/>
  <c r="F10" i="5"/>
  <c r="F34" i="5"/>
  <c r="F35" i="5"/>
  <c r="C36" i="5"/>
  <c r="F36" i="5"/>
  <c r="F37" i="5"/>
  <c r="F39" i="5"/>
  <c r="F15" i="4"/>
  <c r="F16" i="4"/>
  <c r="F17" i="4"/>
  <c r="F18" i="4"/>
  <c r="F19" i="4"/>
  <c r="F20" i="4"/>
  <c r="F21" i="4"/>
  <c r="F26" i="4"/>
  <c r="F27" i="4"/>
  <c r="F28" i="4"/>
  <c r="F29" i="4"/>
  <c r="C32" i="4"/>
  <c r="F32" i="4"/>
  <c r="F33" i="4"/>
  <c r="F34" i="4"/>
  <c r="F36" i="4"/>
  <c r="F37" i="4"/>
  <c r="F10" i="4"/>
  <c r="F38" i="4"/>
  <c r="F39" i="4"/>
  <c r="C40" i="4"/>
  <c r="F40" i="4"/>
  <c r="F41" i="4"/>
  <c r="F43" i="4"/>
  <c r="F15" i="2"/>
  <c r="F16" i="2"/>
  <c r="F17" i="2"/>
  <c r="F18" i="2"/>
  <c r="F19" i="2"/>
  <c r="F20" i="2"/>
  <c r="F23" i="2"/>
  <c r="F24" i="2"/>
  <c r="F25" i="2"/>
  <c r="F26" i="2"/>
  <c r="C29" i="2"/>
  <c r="F29" i="2"/>
  <c r="F31" i="2"/>
  <c r="F32" i="2"/>
  <c r="F10" i="2"/>
  <c r="F33" i="2"/>
  <c r="C34" i="2"/>
  <c r="F34" i="2"/>
  <c r="F35" i="2"/>
  <c r="F37" i="2"/>
  <c r="F18" i="17"/>
  <c r="F19" i="17"/>
  <c r="F20" i="17"/>
  <c r="F21" i="17"/>
  <c r="F22" i="17"/>
  <c r="F23" i="17"/>
  <c r="F24" i="17"/>
  <c r="F25" i="17"/>
  <c r="F26" i="17"/>
  <c r="F27" i="17"/>
  <c r="F28" i="17"/>
  <c r="F29" i="17"/>
  <c r="E30" i="17"/>
  <c r="F30" i="17"/>
  <c r="F31" i="17"/>
  <c r="F34" i="17"/>
  <c r="F35" i="17"/>
  <c r="F37" i="17"/>
  <c r="C11" i="17"/>
  <c r="F11" i="17"/>
  <c r="C12" i="17"/>
  <c r="F12" i="17"/>
  <c r="F13" i="17"/>
  <c r="F38" i="17"/>
  <c r="C39" i="17"/>
  <c r="F39" i="17"/>
  <c r="F40" i="17"/>
  <c r="F42" i="17"/>
  <c r="F15" i="16"/>
  <c r="F16" i="16"/>
  <c r="F17" i="16"/>
  <c r="F18" i="16"/>
  <c r="F19" i="16"/>
  <c r="F21" i="16"/>
  <c r="F22" i="16"/>
  <c r="F23" i="16"/>
  <c r="F24" i="16"/>
  <c r="F25" i="16"/>
  <c r="E26" i="16"/>
  <c r="F26" i="16"/>
  <c r="F27" i="16"/>
  <c r="F30" i="16"/>
  <c r="F31" i="16"/>
  <c r="F33" i="16"/>
  <c r="F10" i="16"/>
  <c r="F34" i="16"/>
  <c r="C35" i="16"/>
  <c r="F35" i="16"/>
  <c r="F36" i="16"/>
  <c r="F38" i="16"/>
  <c r="F15" i="6"/>
  <c r="F16" i="6"/>
  <c r="F17" i="6"/>
  <c r="F18" i="6"/>
  <c r="F19" i="6"/>
  <c r="F20" i="6"/>
  <c r="F21" i="6"/>
  <c r="F22" i="6"/>
  <c r="F23" i="6"/>
  <c r="F24" i="6"/>
  <c r="F25" i="6"/>
  <c r="E26" i="6"/>
  <c r="F26" i="6"/>
  <c r="F27" i="6"/>
  <c r="F30" i="6"/>
  <c r="F31" i="6"/>
  <c r="F33" i="6"/>
  <c r="F34" i="6"/>
  <c r="F35" i="6"/>
  <c r="F36" i="6"/>
  <c r="F10" i="6"/>
  <c r="F37" i="6"/>
  <c r="C38" i="6"/>
  <c r="F38" i="6"/>
  <c r="F40" i="6"/>
  <c r="F42" i="6"/>
  <c r="F56" i="1"/>
  <c r="F10" i="1"/>
  <c r="F15" i="1"/>
  <c r="F16" i="1"/>
  <c r="F17" i="1"/>
  <c r="F18" i="1"/>
  <c r="F19" i="1"/>
  <c r="F23" i="1"/>
  <c r="F24" i="1"/>
  <c r="F25" i="1"/>
  <c r="F26" i="1"/>
  <c r="C29" i="1"/>
  <c r="F29" i="1"/>
  <c r="F31" i="1"/>
  <c r="F32" i="1"/>
  <c r="F33" i="1"/>
  <c r="F34" i="1"/>
  <c r="C35" i="1"/>
  <c r="E35" i="1"/>
  <c r="F35" i="1"/>
  <c r="F46" i="1"/>
  <c r="F49" i="1"/>
  <c r="F50" i="1"/>
  <c r="F45" i="2"/>
  <c r="F48" i="2"/>
  <c r="F49" i="2"/>
  <c r="F55" i="2"/>
  <c r="F10" i="3"/>
  <c r="F36" i="3"/>
  <c r="C30" i="3"/>
  <c r="F30" i="3"/>
  <c r="F31" i="3"/>
  <c r="F32" i="3"/>
  <c r="F34" i="3"/>
  <c r="F35" i="3"/>
  <c r="F37" i="3"/>
  <c r="C38" i="3"/>
  <c r="F38" i="3"/>
  <c r="F39" i="3"/>
  <c r="F15" i="3"/>
  <c r="F16" i="3"/>
  <c r="F17" i="3"/>
  <c r="F18" i="3"/>
  <c r="F19" i="3"/>
  <c r="F24" i="3"/>
  <c r="F25" i="3"/>
  <c r="F26" i="3"/>
  <c r="F52" i="3"/>
  <c r="F53" i="3"/>
  <c r="F59" i="3"/>
  <c r="F54" i="4"/>
  <c r="F55" i="4"/>
  <c r="F61" i="4"/>
  <c r="F47" i="5"/>
  <c r="F50" i="5"/>
  <c r="F51" i="5"/>
  <c r="F57" i="5"/>
  <c r="F50" i="6"/>
  <c r="F60" i="6"/>
  <c r="F48" i="7"/>
  <c r="F51" i="7"/>
  <c r="F52" i="7"/>
  <c r="F58" i="7"/>
  <c r="F50" i="8"/>
  <c r="F51" i="8"/>
  <c r="F57" i="8"/>
  <c r="F49" i="9"/>
  <c r="F50" i="9"/>
  <c r="F56" i="9"/>
  <c r="F10" i="10"/>
  <c r="F15" i="10"/>
  <c r="F16" i="10"/>
  <c r="F17" i="10"/>
  <c r="F18" i="10"/>
  <c r="F19" i="10"/>
  <c r="F23" i="10"/>
  <c r="E24" i="10"/>
  <c r="F24" i="10"/>
  <c r="F25" i="10"/>
  <c r="F28" i="10"/>
  <c r="F29" i="10"/>
  <c r="F30" i="10"/>
  <c r="F31" i="10"/>
  <c r="F32" i="10"/>
  <c r="F33" i="10"/>
  <c r="F44" i="10"/>
  <c r="F47" i="10"/>
  <c r="F48" i="10"/>
  <c r="F54" i="10"/>
  <c r="F40" i="11"/>
  <c r="F49" i="11"/>
  <c r="F10" i="12"/>
  <c r="F52" i="12"/>
  <c r="F49" i="12"/>
  <c r="F50" i="12"/>
  <c r="F53" i="12"/>
  <c r="F15" i="12"/>
  <c r="F16" i="12"/>
  <c r="F17" i="12"/>
  <c r="F18" i="12"/>
  <c r="F19" i="12"/>
  <c r="F20" i="12"/>
  <c r="F21" i="12"/>
  <c r="F22" i="12"/>
  <c r="F23" i="12"/>
  <c r="F24" i="12"/>
  <c r="F25" i="12"/>
  <c r="E26" i="12"/>
  <c r="F26" i="12"/>
  <c r="C30" i="12"/>
  <c r="F30" i="12"/>
  <c r="F31" i="12"/>
  <c r="F32" i="12"/>
  <c r="F34" i="12"/>
  <c r="F35" i="12"/>
  <c r="F36" i="12"/>
  <c r="F37" i="12"/>
  <c r="C38" i="12"/>
  <c r="F38" i="12"/>
  <c r="F39" i="12"/>
  <c r="F27" i="12"/>
  <c r="F41" i="12"/>
  <c r="F59" i="12"/>
  <c r="F44" i="15"/>
  <c r="F45" i="15"/>
  <c r="F47" i="15"/>
  <c r="F48" i="15"/>
  <c r="F54" i="15"/>
  <c r="F43" i="14"/>
  <c r="F46" i="14"/>
  <c r="F47" i="14"/>
  <c r="F53" i="14"/>
  <c r="F50" i="18"/>
  <c r="F53" i="18"/>
  <c r="F54" i="18"/>
  <c r="F60" i="18"/>
  <c r="F46" i="16"/>
  <c r="F50" i="16"/>
  <c r="F56" i="16"/>
  <c r="F50" i="17"/>
  <c r="F54" i="17"/>
  <c r="F60" i="17"/>
  <c r="F53" i="6"/>
  <c r="F54" i="6"/>
  <c r="F44" i="6"/>
  <c r="F56" i="6"/>
  <c r="F58" i="6"/>
  <c r="F62" i="6"/>
  <c r="F46" i="6"/>
  <c r="F44" i="17"/>
  <c r="F46" i="17"/>
  <c r="F40" i="16"/>
  <c r="F52" i="16"/>
  <c r="F54" i="16"/>
  <c r="F58" i="16"/>
  <c r="F56" i="17"/>
  <c r="F58" i="17"/>
  <c r="F62" i="17"/>
  <c r="F44" i="18"/>
  <c r="F37" i="14"/>
  <c r="F39" i="14"/>
  <c r="F38" i="15"/>
  <c r="F43" i="12"/>
  <c r="F34" i="11"/>
  <c r="F42" i="11"/>
  <c r="F43" i="11"/>
  <c r="F34" i="10"/>
  <c r="F36" i="10"/>
  <c r="F38" i="10"/>
  <c r="F40" i="9"/>
  <c r="F42" i="9"/>
  <c r="F41" i="8"/>
  <c r="F42" i="7"/>
  <c r="F44" i="7"/>
  <c r="F41" i="5"/>
  <c r="F45" i="4"/>
  <c r="F57" i="4"/>
  <c r="F59" i="4"/>
  <c r="F63" i="4"/>
  <c r="F47" i="4"/>
  <c r="F27" i="3"/>
  <c r="F41" i="3"/>
  <c r="F43" i="3"/>
  <c r="F55" i="3"/>
  <c r="F57" i="3"/>
  <c r="F61" i="3"/>
  <c r="F45" i="3"/>
  <c r="F39" i="2"/>
  <c r="F42" i="16"/>
  <c r="F36" i="1"/>
  <c r="F38" i="1"/>
  <c r="F46" i="18"/>
  <c r="F56" i="18"/>
  <c r="F58" i="18"/>
  <c r="F62" i="18"/>
  <c r="F49" i="14"/>
  <c r="F51" i="14"/>
  <c r="F55" i="14"/>
  <c r="F40" i="15"/>
  <c r="F50" i="15"/>
  <c r="F52" i="15"/>
  <c r="F56" i="15"/>
  <c r="F45" i="12"/>
  <c r="F55" i="12"/>
  <c r="F57" i="12"/>
  <c r="F61" i="12"/>
  <c r="F45" i="11"/>
  <c r="F47" i="11"/>
  <c r="F51" i="11"/>
  <c r="F36" i="11"/>
  <c r="F50" i="10"/>
  <c r="F52" i="10"/>
  <c r="F56" i="10"/>
  <c r="F40" i="10"/>
  <c r="F52" i="9"/>
  <c r="F54" i="9"/>
  <c r="F58" i="9"/>
  <c r="F53" i="8"/>
  <c r="F55" i="8"/>
  <c r="F59" i="8"/>
  <c r="F43" i="8"/>
  <c r="F54" i="7"/>
  <c r="F56" i="7"/>
  <c r="F60" i="7"/>
  <c r="F53" i="5"/>
  <c r="F55" i="5"/>
  <c r="F59" i="5"/>
  <c r="F43" i="5"/>
  <c r="F40" i="1"/>
  <c r="F41" i="2"/>
  <c r="F51" i="2"/>
  <c r="F53" i="2"/>
  <c r="F57" i="2"/>
  <c r="F42" i="1"/>
  <c r="F52" i="1"/>
  <c r="F54" i="1"/>
  <c r="F58" i="1"/>
</calcChain>
</file>

<file path=xl/sharedStrings.xml><?xml version="1.0" encoding="utf-8"?>
<sst xmlns="http://schemas.openxmlformats.org/spreadsheetml/2006/main" count="1226" uniqueCount="197">
  <si>
    <t>Quantity</t>
  </si>
  <si>
    <t>Unit</t>
  </si>
  <si>
    <t>$/Unit</t>
  </si>
  <si>
    <t>Total</t>
  </si>
  <si>
    <t>GROSS RETURNS</t>
  </si>
  <si>
    <t>Broccoli (20-23 lb box)</t>
  </si>
  <si>
    <t>box</t>
  </si>
  <si>
    <t>VARIABLE COSTS</t>
  </si>
  <si>
    <t xml:space="preserve">   Plants  (container)</t>
  </si>
  <si>
    <t xml:space="preserve">   Lime</t>
  </si>
  <si>
    <t>ton</t>
  </si>
  <si>
    <t xml:space="preserve">   Fertilizer: 19-19-19 Spread</t>
  </si>
  <si>
    <t>lb</t>
  </si>
  <si>
    <t xml:space="preserve">   Fertilizer: Starter</t>
  </si>
  <si>
    <t xml:space="preserve">   Fertilizer: Ammonium Nitrate</t>
  </si>
  <si>
    <t xml:space="preserve">   Herbicide</t>
  </si>
  <si>
    <t>pt</t>
  </si>
  <si>
    <t xml:space="preserve">   Insecticides</t>
  </si>
  <si>
    <t>acre</t>
  </si>
  <si>
    <t xml:space="preserve">   Fungicide</t>
  </si>
  <si>
    <t xml:space="preserve">   Irrigation</t>
  </si>
  <si>
    <t>hours</t>
  </si>
  <si>
    <t xml:space="preserve">   Hired Labor</t>
  </si>
  <si>
    <t xml:space="preserve">   Machinery Variable Costs</t>
  </si>
  <si>
    <t>Total Preharvest Variable Costs</t>
  </si>
  <si>
    <t>HARVESTING AND MARKETING</t>
  </si>
  <si>
    <t xml:space="preserve"> Boxes</t>
  </si>
  <si>
    <t>boxes</t>
  </si>
  <si>
    <t xml:space="preserve"> Hired Labor</t>
  </si>
  <si>
    <t xml:space="preserve">   Harvest &amp; Pack</t>
  </si>
  <si>
    <t xml:space="preserve">   Misc. Harvest Labor</t>
  </si>
  <si>
    <t xml:space="preserve"> Marketing Costs (10% of Gross)</t>
  </si>
  <si>
    <t>gross</t>
  </si>
  <si>
    <t xml:space="preserve"> Ice</t>
  </si>
  <si>
    <t>lbs</t>
  </si>
  <si>
    <t xml:space="preserve"> Hauling Variable Costs</t>
  </si>
  <si>
    <t>Total Harvesting and Marketing Cost</t>
  </si>
  <si>
    <t>TOTAL VARIABLE COST</t>
  </si>
  <si>
    <t>RETURN ABOVE VARIABLE COSTS</t>
  </si>
  <si>
    <t>FIXED COSTS</t>
  </si>
  <si>
    <t xml:space="preserve">   Machinery and Equipment</t>
  </si>
  <si>
    <t xml:space="preserve">   Depreciation on Irrigation System</t>
  </si>
  <si>
    <t xml:space="preserve">   Taxes on Land</t>
  </si>
  <si>
    <t xml:space="preserve">   Insurance</t>
  </si>
  <si>
    <t>TOTAL FIXED COSTS</t>
  </si>
  <si>
    <t>TOTAL EXPENSES</t>
  </si>
  <si>
    <t>RETURN TO OPERATOR LABOR, LAND, CAPITAL, &amp; MGT.</t>
  </si>
  <si>
    <t>Operator and Unpaid Family Labor</t>
  </si>
  <si>
    <t>RETURN TO LAND, CAPITAL, AND MANAGEMENT</t>
  </si>
  <si>
    <t>Cabbage (50 lb box)</t>
  </si>
  <si>
    <t xml:space="preserve">   Plants  (bare root)</t>
  </si>
  <si>
    <t>qts</t>
  </si>
  <si>
    <t>Cucumbers (1 1/9 bu box)</t>
  </si>
  <si>
    <t xml:space="preserve">   Seed</t>
  </si>
  <si>
    <t xml:space="preserve">   Fertilizer: 5-10-10 Spread</t>
  </si>
  <si>
    <t>cwt</t>
  </si>
  <si>
    <t xml:space="preserve">   Fertilizer: Side Dressing 33.5%N</t>
  </si>
  <si>
    <t xml:space="preserve">   Black Plastic/Drip Lines</t>
  </si>
  <si>
    <t xml:space="preserve">   Nematicide</t>
  </si>
  <si>
    <t xml:space="preserve">   Fungicides</t>
  </si>
  <si>
    <t xml:space="preserve">   Pollination</t>
  </si>
  <si>
    <t>hive</t>
  </si>
  <si>
    <t xml:space="preserve"> Plastic Disposal</t>
  </si>
  <si>
    <t xml:space="preserve"> Plastic Disposal Fee</t>
  </si>
  <si>
    <t>fee</t>
  </si>
  <si>
    <t xml:space="preserve">   Harvest</t>
  </si>
  <si>
    <t xml:space="preserve">   Wash/Wax/Pack</t>
  </si>
  <si>
    <t xml:space="preserve">   Marketing Costs (10% of Gross)</t>
  </si>
  <si>
    <t xml:space="preserve">   Hauling Labor Charge</t>
  </si>
  <si>
    <t xml:space="preserve">   Herbicides</t>
  </si>
  <si>
    <t xml:space="preserve">   Trellis Materials</t>
  </si>
  <si>
    <t xml:space="preserve">   Trellis Labor</t>
  </si>
  <si>
    <t>Eggplant (1 1/9 bu. box)</t>
  </si>
  <si>
    <t xml:space="preserve">   Plants</t>
  </si>
  <si>
    <t>thous</t>
  </si>
  <si>
    <t xml:space="preserve">   Fertilizer</t>
  </si>
  <si>
    <t xml:space="preserve">   Wash/Pack</t>
  </si>
  <si>
    <t xml:space="preserve">   Additional Hired Labor  (Transplants)</t>
  </si>
  <si>
    <t xml:space="preserve">   Grading</t>
  </si>
  <si>
    <t xml:space="preserve"> Harvest Bin Rental</t>
  </si>
  <si>
    <t xml:space="preserve"> Bins for Marketing</t>
  </si>
  <si>
    <t>bins</t>
  </si>
  <si>
    <t>melons</t>
  </si>
  <si>
    <t xml:space="preserve">   Seed--Fungicide Treated</t>
  </si>
  <si>
    <t xml:space="preserve">   Fertilizer: Side Dressing N</t>
  </si>
  <si>
    <t xml:space="preserve">   Herbicides: Preplant</t>
  </si>
  <si>
    <t xml:space="preserve">   Wash/Pack/Grade</t>
  </si>
  <si>
    <t>Bell Peppers (1 1/9 bushel)</t>
  </si>
  <si>
    <t xml:space="preserve">   Fertilizer:  Side Dressing Ammonium Nitrate</t>
  </si>
  <si>
    <t xml:space="preserve">   Packing, Grading</t>
  </si>
  <si>
    <t>Jalepeno Peppers (1/2 bushel)</t>
  </si>
  <si>
    <t>Potatoes</t>
  </si>
  <si>
    <t xml:space="preserve">   Fertilizer: 10-10-10 Spread</t>
  </si>
  <si>
    <t xml:space="preserve">                  Ammonium Nitrate</t>
  </si>
  <si>
    <t xml:space="preserve">   Seed Treatment/Cutting</t>
  </si>
  <si>
    <t>Variable Machine Costs</t>
  </si>
  <si>
    <t>Bags</t>
  </si>
  <si>
    <t>bags</t>
  </si>
  <si>
    <t>Hired Labor: Wash/Pack</t>
  </si>
  <si>
    <t>Washer/Grader/Bagger</t>
  </si>
  <si>
    <t xml:space="preserve">   Grading and Packing</t>
  </si>
  <si>
    <t>Pumpkins (18-22 lb size)</t>
  </si>
  <si>
    <t xml:space="preserve">   Harvesting, Hauling, Handling</t>
  </si>
  <si>
    <t>Summer Squash (5/9 bu. box)</t>
  </si>
  <si>
    <t>Winter Squash (50 lb box)</t>
  </si>
  <si>
    <t>Boxes</t>
  </si>
  <si>
    <t>Sweet Corn  (Crate)</t>
  </si>
  <si>
    <t>crate</t>
  </si>
  <si>
    <t xml:space="preserve"> Crates</t>
  </si>
  <si>
    <t>crates</t>
  </si>
  <si>
    <t>WINTER SQUASH:  Trickle-irrigated</t>
  </si>
  <si>
    <t>Watermelons, Seeded</t>
  </si>
  <si>
    <t>plants</t>
  </si>
  <si>
    <t xml:space="preserve">   Herbicides  (Row Middles)</t>
  </si>
  <si>
    <t xml:space="preserve">   Insecticides/Nematicides</t>
  </si>
  <si>
    <t xml:space="preserve">   Harvest &amp; Field Grading</t>
  </si>
  <si>
    <t>Watermelons, Seedless</t>
  </si>
  <si>
    <t xml:space="preserve">   Plants, Seedless</t>
  </si>
  <si>
    <t xml:space="preserve">   Plants, Seeded</t>
  </si>
  <si>
    <t>Tomatoes  (25# box)</t>
  </si>
  <si>
    <t xml:space="preserve">   Transplant Labor</t>
  </si>
  <si>
    <t xml:space="preserve">   Fertilizer:  10-20-20</t>
  </si>
  <si>
    <t xml:space="preserve">   Fertilizer:  Starter</t>
  </si>
  <si>
    <t xml:space="preserve">   Fertilizer:  Ammonium Nitrate</t>
  </si>
  <si>
    <t xml:space="preserve">   Stakes &amp; Twine</t>
  </si>
  <si>
    <t xml:space="preserve">   Herbicides  (row middles only)</t>
  </si>
  <si>
    <t xml:space="preserve"> Trays</t>
  </si>
  <si>
    <t>each</t>
  </si>
  <si>
    <t xml:space="preserve">   Grade/Pack</t>
  </si>
  <si>
    <t>a</t>
  </si>
  <si>
    <t>b</t>
  </si>
  <si>
    <t>PRODUCTION</t>
  </si>
  <si>
    <t>University of Kentucky, College of Agriculture, Cooperative Extension Service</t>
  </si>
  <si>
    <t>appl's</t>
  </si>
  <si>
    <t>GREEN CABBAGE:  Fresh Market</t>
  </si>
  <si>
    <t>EGGPLANT:  Fresh Market, Trickle Irrigated</t>
  </si>
  <si>
    <t>MUSKMELON (CANTALOUPE):  Fresh Market, Trickle Irrigated</t>
  </si>
  <si>
    <t>Muskmelons</t>
  </si>
  <si>
    <t>Okra (1/2 bu/15# box)</t>
  </si>
  <si>
    <t>OKRA:  Fresh Market, Trickle Irrigated</t>
  </si>
  <si>
    <t>BROCCOLI:  Fall Crop, Fresh Market, Overhead Irrigated</t>
  </si>
  <si>
    <t>YELLOW CROOKNECK SQUASH :  Fresh Market, Trickle Irrigated</t>
  </si>
  <si>
    <t>SWEET CORN:  Fresh Market, Overhead Irrigated</t>
  </si>
  <si>
    <t>Reflects 3-year amortized cost for stakes and twine.  First year expense will be in the $225 range.</t>
  </si>
  <si>
    <t>WATERMELON (seeded):  Fresh Market, Trickle Irrigated</t>
  </si>
  <si>
    <t>WATERMELON (seedless), Fresh Market, Trickle Irrigated</t>
  </si>
  <si>
    <t>Total Returns</t>
  </si>
  <si>
    <t>Table of Contents</t>
  </si>
  <si>
    <t>CUCUMBER:  Fresh Market, Trickle Irrigated</t>
  </si>
  <si>
    <t>CUCUMBER:  Fresh Market, Trickle Irrigated, Single Strand Trellis, Late Summer Planting</t>
  </si>
  <si>
    <t>BELL PEPPER:  Fresh Market, Trickle Irrigated</t>
  </si>
  <si>
    <t>JALEPENO PEPPER:  Fresh Market, Trickle Irrigated</t>
  </si>
  <si>
    <t>POTATO:  Fresh Market, Overhead Irrigated</t>
  </si>
  <si>
    <t>PUMPKIN:  Non-irrigated</t>
  </si>
  <si>
    <t>TOMATO:  Fresh Market, Trickle Irrigated, Staked</t>
  </si>
  <si>
    <t>Broccoli</t>
  </si>
  <si>
    <t>Cabbage</t>
  </si>
  <si>
    <t>Cucumber</t>
  </si>
  <si>
    <t>Cucumber, Trellised</t>
  </si>
  <si>
    <t>Eggplant</t>
  </si>
  <si>
    <t>Muskmelon</t>
  </si>
  <si>
    <t>Okra</t>
  </si>
  <si>
    <t>Pepper, Bell</t>
  </si>
  <si>
    <t>Pepper, Jalepeno</t>
  </si>
  <si>
    <t>Potato</t>
  </si>
  <si>
    <t>Squash, Summer</t>
  </si>
  <si>
    <t>Squash, Winter</t>
  </si>
  <si>
    <t>Sweet Corn</t>
  </si>
  <si>
    <t>Tomato</t>
  </si>
  <si>
    <t>Watermelon, Seeded</t>
  </si>
  <si>
    <t>Watermelon, Seedless</t>
  </si>
  <si>
    <t>Return to Table of Contents</t>
  </si>
  <si>
    <t>Pumpkin</t>
  </si>
  <si>
    <t>2005 UK estimate for trickle irrigation.  Based on $1,327 fixed costs, st. line depreciation, 7-year useful life.</t>
  </si>
  <si>
    <t xml:space="preserve"> </t>
  </si>
  <si>
    <t>Interest on Variable Costs (5%)</t>
  </si>
  <si>
    <t>US #1</t>
  </si>
  <si>
    <t>US #2</t>
  </si>
  <si>
    <t>TOTAL</t>
  </si>
  <si>
    <t>thousand</t>
  </si>
  <si>
    <t xml:space="preserve">   Pesticides</t>
  </si>
  <si>
    <t xml:space="preserve"> Variable Machine Costs</t>
  </si>
  <si>
    <t xml:space="preserve">   Sorting/Grading/Packing</t>
  </si>
  <si>
    <t>SWEETPOTATO:  Fresh Market, Irrigated</t>
  </si>
  <si>
    <t>The "buttons" below contain links to each of the 18 vegetable/melon budgets.  Click on the desired crop and the link will take you to the sheet for that particular budget.  Once on the budget sheet, you can click on the Table of Contents "button" to return to this page in order to select a different budget.  You can also navigate from budget to budget by clicking on the name of the budget listed on the tabs at the bottom of your screen.</t>
  </si>
  <si>
    <t>Sweetpotato</t>
  </si>
  <si>
    <t>Matt Ernst, Consultant, Department of Agricultural Economics</t>
  </si>
  <si>
    <t>Timothy Woods, Extension Specialist, Department of Agricultural Economics</t>
  </si>
  <si>
    <t>Timothy Coolong, Extension Specialist, Department of Horticulture</t>
  </si>
  <si>
    <t>John Strang, Extension Specialist, Department of Horticulture</t>
  </si>
  <si>
    <t>Dave Spalding, Extension Associate, Department of Horticulture</t>
  </si>
  <si>
    <t>Authors</t>
  </si>
  <si>
    <t>Reviewer</t>
  </si>
  <si>
    <t>2013 Vegetable and Melon Budgets</t>
  </si>
  <si>
    <t>Kentucky Estimated per Acre Costs and Returns for 2013</t>
  </si>
  <si>
    <t>Agriculture &amp; Natural Resources • Family &amp; Consumer Sciences • 4-H/Youth Development • Community &amp; Economic Development</t>
  </si>
  <si>
    <t>Educational programs if Kentucky Cooperative Extension serve all people regardless of race, color, age, sex, religion, disability, or national origin.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</si>
</sst>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quot;$&quot;#,##0.00"/>
    <numFmt numFmtId="167" formatCode="&quot;$&quot;#,##0.00;[Red]&quot;$&quot;#,##0.00"/>
  </numFmts>
  <fonts count="25" x14ac:knownFonts="1">
    <font>
      <sz val="10"/>
      <name val="Arial"/>
    </font>
    <font>
      <sz val="10"/>
      <name val="Arial"/>
      <family val="2"/>
    </font>
    <font>
      <b/>
      <sz val="10"/>
      <name val="Arial"/>
      <family val="2"/>
    </font>
    <font>
      <sz val="9"/>
      <name val="Arial"/>
      <family val="2"/>
    </font>
    <font>
      <sz val="10"/>
      <name val="Arial"/>
      <family val="2"/>
    </font>
    <font>
      <b/>
      <i/>
      <sz val="9"/>
      <name val="Arial"/>
      <family val="2"/>
    </font>
    <font>
      <sz val="18"/>
      <name val="Arial"/>
      <family val="2"/>
    </font>
    <font>
      <sz val="12"/>
      <name val="Arial Black"/>
      <family val="2"/>
    </font>
    <font>
      <u/>
      <sz val="12"/>
      <name val="Arial Black"/>
      <family val="2"/>
    </font>
    <font>
      <u/>
      <sz val="10"/>
      <color theme="10"/>
      <name val="Arial"/>
      <family val="2"/>
    </font>
    <font>
      <sz val="10"/>
      <color theme="3"/>
      <name val="Arial"/>
      <family val="2"/>
    </font>
    <font>
      <b/>
      <sz val="10"/>
      <color theme="4" tint="-0.249977111117893"/>
      <name val="Arial"/>
      <family val="2"/>
    </font>
    <font>
      <b/>
      <sz val="10"/>
      <color rgb="FF0823AC"/>
      <name val="Arial"/>
      <family val="2"/>
    </font>
    <font>
      <sz val="10"/>
      <color rgb="FF0823AC"/>
      <name val="Arial"/>
      <family val="2"/>
    </font>
    <font>
      <sz val="10"/>
      <color rgb="FF1F497C"/>
      <name val="Arial"/>
      <family val="2"/>
    </font>
    <font>
      <sz val="10"/>
      <color theme="3" tint="0.59999389629810485"/>
      <name val="Arial"/>
      <family val="2"/>
    </font>
    <font>
      <b/>
      <i/>
      <sz val="10"/>
      <name val="Cambria"/>
      <family val="1"/>
      <scheme val="major"/>
    </font>
    <font>
      <b/>
      <u/>
      <sz val="12"/>
      <color theme="1"/>
      <name val="Arial Black"/>
      <family val="2"/>
    </font>
    <font>
      <b/>
      <sz val="12"/>
      <color theme="1"/>
      <name val="Arial Black"/>
      <family val="2"/>
    </font>
    <font>
      <b/>
      <sz val="20"/>
      <name val="Arial"/>
      <family val="2"/>
    </font>
    <font>
      <sz val="12"/>
      <color theme="4" tint="-0.499984740745262"/>
      <name val="Arial Black"/>
      <family val="2"/>
    </font>
    <font>
      <b/>
      <sz val="20"/>
      <color theme="4" tint="-0.249977111117893"/>
      <name val="Arial"/>
      <family val="2"/>
    </font>
    <font>
      <sz val="12"/>
      <name val="Arial"/>
      <family val="2"/>
    </font>
    <font>
      <sz val="9"/>
      <name val="Arial Narrow"/>
      <family val="2"/>
    </font>
    <font>
      <sz val="7"/>
      <name val="Arial"/>
      <family val="2"/>
    </font>
  </fonts>
  <fills count="6">
    <fill>
      <patternFill patternType="none"/>
    </fill>
    <fill>
      <patternFill patternType="gray125"/>
    </fill>
    <fill>
      <patternFill patternType="solid">
        <fgColor rgb="FF376091"/>
        <bgColor indexed="64"/>
      </patternFill>
    </fill>
    <fill>
      <patternFill patternType="solid">
        <fgColor theme="4" tint="-0.249977111117893"/>
        <bgColor indexed="64"/>
      </patternFill>
    </fill>
    <fill>
      <patternFill patternType="solid">
        <fgColor rgb="FF355A87"/>
        <bgColor indexed="64"/>
      </patternFill>
    </fill>
    <fill>
      <patternFill patternType="solid">
        <fgColor theme="4" tint="0.399975585192419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190">
    <xf numFmtId="0" fontId="0" fillId="0" borderId="0" xfId="0"/>
    <xf numFmtId="0" fontId="2" fillId="0" borderId="0" xfId="0" applyFont="1"/>
    <xf numFmtId="0" fontId="3" fillId="0" borderId="0" xfId="0" applyFont="1"/>
    <xf numFmtId="0" fontId="4" fillId="0" borderId="0" xfId="0" applyFont="1"/>
    <xf numFmtId="0" fontId="0" fillId="0" borderId="0" xfId="0" applyAlignment="1">
      <alignment horizontal="right"/>
    </xf>
    <xf numFmtId="0" fontId="4" fillId="0" borderId="0" xfId="0" applyFont="1" applyAlignment="1">
      <alignment horizontal="right"/>
    </xf>
    <xf numFmtId="0" fontId="0" fillId="0" borderId="1" xfId="0" applyBorder="1" applyAlignment="1">
      <alignment horizontal="right"/>
    </xf>
    <xf numFmtId="0" fontId="0" fillId="2" borderId="0" xfId="0" applyFill="1"/>
    <xf numFmtId="0" fontId="0" fillId="2" borderId="0" xfId="0" applyFill="1" applyAlignment="1">
      <alignment horizontal="right"/>
    </xf>
    <xf numFmtId="0" fontId="2" fillId="0" borderId="0" xfId="0" applyFont="1" applyBorder="1"/>
    <xf numFmtId="0" fontId="2" fillId="0" borderId="0" xfId="0" applyFont="1" applyBorder="1" applyAlignment="1">
      <alignment horizontal="right"/>
    </xf>
    <xf numFmtId="0" fontId="0" fillId="0" borderId="0" xfId="0" applyBorder="1"/>
    <xf numFmtId="0" fontId="0" fillId="0" borderId="0" xfId="0" applyBorder="1" applyAlignment="1">
      <alignment horizontal="right"/>
    </xf>
    <xf numFmtId="0" fontId="2" fillId="0" borderId="2" xfId="0" applyFont="1" applyBorder="1"/>
    <xf numFmtId="0" fontId="0" fillId="0" borderId="2" xfId="0" applyBorder="1" applyAlignment="1">
      <alignment horizontal="right"/>
    </xf>
    <xf numFmtId="0" fontId="10" fillId="3" borderId="0" xfId="0" applyFont="1" applyFill="1" applyAlignment="1">
      <alignment horizontal="right"/>
    </xf>
    <xf numFmtId="0" fontId="2" fillId="0" borderId="2" xfId="0" applyFont="1" applyBorder="1" applyAlignment="1">
      <alignment horizontal="right"/>
    </xf>
    <xf numFmtId="164" fontId="1" fillId="0" borderId="0" xfId="4" applyNumberFormat="1" applyAlignment="1">
      <alignment horizontal="right"/>
    </xf>
    <xf numFmtId="0" fontId="2" fillId="0" borderId="0" xfId="0" applyFont="1" applyAlignment="1">
      <alignment horizontal="right"/>
    </xf>
    <xf numFmtId="166" fontId="1" fillId="0" borderId="0" xfId="2" applyNumberFormat="1" applyAlignment="1">
      <alignment horizontal="right"/>
    </xf>
    <xf numFmtId="166" fontId="0" fillId="0" borderId="0" xfId="0" applyNumberFormat="1" applyAlignment="1">
      <alignment horizontal="right"/>
    </xf>
    <xf numFmtId="166" fontId="2" fillId="0" borderId="0" xfId="0" applyNumberFormat="1" applyFont="1" applyAlignment="1">
      <alignment horizontal="right"/>
    </xf>
    <xf numFmtId="166" fontId="2" fillId="0" borderId="0" xfId="2" applyNumberFormat="1" applyFont="1" applyAlignment="1">
      <alignment horizontal="right"/>
    </xf>
    <xf numFmtId="0" fontId="0" fillId="3" borderId="0" xfId="0" applyFill="1"/>
    <xf numFmtId="0" fontId="0" fillId="3" borderId="0" xfId="0" applyFill="1" applyAlignment="1">
      <alignment horizontal="right"/>
    </xf>
    <xf numFmtId="166" fontId="0" fillId="3" borderId="0" xfId="0" applyNumberFormat="1" applyFill="1" applyAlignment="1">
      <alignment horizontal="right"/>
    </xf>
    <xf numFmtId="166" fontId="1" fillId="0" borderId="1" xfId="2" applyNumberFormat="1" applyBorder="1" applyAlignment="1">
      <alignment horizontal="right"/>
    </xf>
    <xf numFmtId="166" fontId="0" fillId="2" borderId="0" xfId="0" applyNumberFormat="1" applyFill="1" applyAlignment="1">
      <alignment horizontal="right"/>
    </xf>
    <xf numFmtId="166" fontId="0" fillId="0" borderId="1" xfId="0" applyNumberFormat="1" applyBorder="1" applyAlignment="1">
      <alignment horizontal="right"/>
    </xf>
    <xf numFmtId="166" fontId="0" fillId="0" borderId="2" xfId="0" applyNumberFormat="1" applyBorder="1" applyAlignment="1">
      <alignment horizontal="right"/>
    </xf>
    <xf numFmtId="166" fontId="2" fillId="0" borderId="2" xfId="0" applyNumberFormat="1" applyFont="1" applyBorder="1" applyAlignment="1">
      <alignment horizontal="right"/>
    </xf>
    <xf numFmtId="8" fontId="2" fillId="0" borderId="2" xfId="0" applyNumberFormat="1" applyFont="1" applyBorder="1" applyAlignment="1">
      <alignment horizontal="right"/>
    </xf>
    <xf numFmtId="40" fontId="0" fillId="0" borderId="0" xfId="0" applyNumberFormat="1" applyAlignment="1">
      <alignment horizontal="right"/>
    </xf>
    <xf numFmtId="40" fontId="10" fillId="3" borderId="0" xfId="0" applyNumberFormat="1" applyFont="1" applyFill="1" applyAlignment="1">
      <alignment horizontal="right"/>
    </xf>
    <xf numFmtId="39" fontId="0" fillId="0" borderId="0" xfId="0" applyNumberFormat="1" applyAlignment="1">
      <alignment horizontal="right"/>
    </xf>
    <xf numFmtId="8" fontId="1" fillId="0" borderId="0" xfId="2" applyNumberFormat="1" applyAlignment="1">
      <alignment horizontal="right"/>
    </xf>
    <xf numFmtId="8" fontId="0" fillId="0" borderId="0" xfId="0" applyNumberFormat="1" applyAlignment="1">
      <alignment horizontal="right"/>
    </xf>
    <xf numFmtId="8" fontId="4" fillId="0" borderId="0" xfId="2" applyNumberFormat="1" applyFont="1" applyAlignment="1">
      <alignment horizontal="right"/>
    </xf>
    <xf numFmtId="8" fontId="1" fillId="0" borderId="1" xfId="2" applyNumberFormat="1" applyBorder="1" applyAlignment="1">
      <alignment horizontal="right"/>
    </xf>
    <xf numFmtId="8" fontId="2" fillId="0" borderId="0" xfId="0" applyNumberFormat="1" applyFont="1" applyAlignment="1">
      <alignment horizontal="right"/>
    </xf>
    <xf numFmtId="8" fontId="2" fillId="0" borderId="0" xfId="0" applyNumberFormat="1" applyFont="1" applyBorder="1" applyAlignment="1">
      <alignment horizontal="right"/>
    </xf>
    <xf numFmtId="8" fontId="0" fillId="2" borderId="0" xfId="0" applyNumberFormat="1" applyFill="1" applyAlignment="1">
      <alignment horizontal="right"/>
    </xf>
    <xf numFmtId="8" fontId="2" fillId="0" borderId="0" xfId="2" applyNumberFormat="1" applyFont="1" applyBorder="1" applyAlignment="1">
      <alignment horizontal="right"/>
    </xf>
    <xf numFmtId="8" fontId="0" fillId="0" borderId="0" xfId="0" applyNumberFormat="1" applyBorder="1" applyAlignment="1">
      <alignment horizontal="right"/>
    </xf>
    <xf numFmtId="8" fontId="2" fillId="0" borderId="0" xfId="2" applyNumberFormat="1" applyFont="1" applyAlignment="1">
      <alignment horizontal="right"/>
    </xf>
    <xf numFmtId="0" fontId="11" fillId="0" borderId="0" xfId="0" applyFont="1" applyAlignment="1">
      <alignment horizontal="right"/>
    </xf>
    <xf numFmtId="8" fontId="0" fillId="3" borderId="0" xfId="0" applyNumberFormat="1" applyFill="1" applyAlignment="1">
      <alignment horizontal="right"/>
    </xf>
    <xf numFmtId="0" fontId="4" fillId="0" borderId="0" xfId="0" applyFont="1" applyAlignment="1">
      <alignment horizontal="right" vertical="top"/>
    </xf>
    <xf numFmtId="0" fontId="0" fillId="0" borderId="0" xfId="0" applyAlignment="1">
      <alignment horizontal="right" vertical="top"/>
    </xf>
    <xf numFmtId="8" fontId="2" fillId="0" borderId="1" xfId="0" applyNumberFormat="1" applyFont="1" applyBorder="1" applyAlignment="1">
      <alignment horizontal="right"/>
    </xf>
    <xf numFmtId="0" fontId="0" fillId="0" borderId="0" xfId="0" applyAlignment="1">
      <alignment horizontal="left" vertical="top"/>
    </xf>
    <xf numFmtId="0" fontId="3" fillId="0" borderId="0" xfId="0" applyFont="1" applyAlignment="1">
      <alignment horizontal="left" vertical="top"/>
    </xf>
    <xf numFmtId="8" fontId="4" fillId="0" borderId="0" xfId="0" applyNumberFormat="1" applyFont="1" applyAlignment="1">
      <alignment horizontal="right"/>
    </xf>
    <xf numFmtId="0" fontId="4" fillId="0" borderId="1" xfId="0" applyFont="1" applyBorder="1" applyAlignment="1">
      <alignment horizontal="right"/>
    </xf>
    <xf numFmtId="8" fontId="4" fillId="0" borderId="1" xfId="2" applyNumberFormat="1" applyFont="1" applyBorder="1" applyAlignment="1">
      <alignment horizontal="right"/>
    </xf>
    <xf numFmtId="8" fontId="0" fillId="0" borderId="2" xfId="0" applyNumberFormat="1" applyBorder="1" applyAlignment="1">
      <alignment horizontal="right"/>
    </xf>
    <xf numFmtId="8" fontId="0" fillId="0" borderId="1" xfId="0" applyNumberFormat="1" applyBorder="1" applyAlignment="1">
      <alignment horizontal="right"/>
    </xf>
    <xf numFmtId="8" fontId="0" fillId="0" borderId="0" xfId="2" applyNumberFormat="1" applyFont="1" applyAlignment="1">
      <alignment horizontal="right"/>
    </xf>
    <xf numFmtId="8" fontId="0" fillId="0" borderId="1" xfId="2" applyNumberFormat="1" applyFont="1" applyBorder="1" applyAlignment="1">
      <alignment horizontal="right"/>
    </xf>
    <xf numFmtId="0" fontId="0" fillId="0" borderId="0" xfId="0" applyFill="1"/>
    <xf numFmtId="8" fontId="0" fillId="0" borderId="0" xfId="0" applyNumberFormat="1" applyFill="1" applyAlignment="1">
      <alignment horizontal="right"/>
    </xf>
    <xf numFmtId="0" fontId="0" fillId="0" borderId="0" xfId="0" applyNumberFormat="1" applyAlignment="1">
      <alignment horizontal="right"/>
    </xf>
    <xf numFmtId="0" fontId="0" fillId="0" borderId="1" xfId="0" applyNumberFormat="1" applyBorder="1" applyAlignment="1">
      <alignment horizontal="right"/>
    </xf>
    <xf numFmtId="0" fontId="0" fillId="0" borderId="0" xfId="0" applyFill="1" applyAlignment="1">
      <alignment horizontal="right"/>
    </xf>
    <xf numFmtId="0" fontId="1" fillId="0" borderId="0" xfId="1" applyNumberFormat="1" applyFont="1" applyAlignment="1">
      <alignment horizontal="right"/>
    </xf>
    <xf numFmtId="0" fontId="3" fillId="3" borderId="0" xfId="0" applyFont="1" applyFill="1"/>
    <xf numFmtId="0" fontId="3" fillId="0" borderId="0" xfId="0" applyFont="1" applyAlignment="1">
      <alignment horizontal="right"/>
    </xf>
    <xf numFmtId="8" fontId="3" fillId="0" borderId="0" xfId="0" applyNumberFormat="1" applyFont="1" applyAlignment="1">
      <alignment horizontal="right"/>
    </xf>
    <xf numFmtId="8" fontId="10" fillId="3" borderId="0" xfId="0" applyNumberFormat="1" applyFont="1" applyFill="1" applyAlignment="1">
      <alignment horizontal="right"/>
    </xf>
    <xf numFmtId="0" fontId="4" fillId="0" borderId="0" xfId="1" applyNumberFormat="1" applyFont="1" applyAlignment="1">
      <alignment horizontal="right"/>
    </xf>
    <xf numFmtId="9" fontId="11" fillId="0" borderId="0" xfId="0" applyNumberFormat="1" applyFont="1" applyAlignment="1">
      <alignment horizontal="right"/>
    </xf>
    <xf numFmtId="0" fontId="12" fillId="0" borderId="0" xfId="0" applyFont="1" applyAlignment="1">
      <alignment horizontal="right"/>
    </xf>
    <xf numFmtId="8" fontId="12" fillId="0" borderId="0" xfId="2" applyNumberFormat="1" applyFont="1" applyAlignment="1">
      <alignment horizontal="right"/>
    </xf>
    <xf numFmtId="8" fontId="13" fillId="0" borderId="0" xfId="0" applyNumberFormat="1" applyFont="1" applyAlignment="1">
      <alignment horizontal="right"/>
    </xf>
    <xf numFmtId="166" fontId="12" fillId="0" borderId="0" xfId="2" applyNumberFormat="1" applyFont="1" applyAlignment="1">
      <alignment horizontal="right"/>
    </xf>
    <xf numFmtId="8" fontId="13" fillId="0" borderId="0" xfId="2" applyNumberFormat="1" applyFont="1" applyAlignment="1">
      <alignment horizontal="right"/>
    </xf>
    <xf numFmtId="0" fontId="0" fillId="4" borderId="0" xfId="0" applyFill="1"/>
    <xf numFmtId="0" fontId="0" fillId="4" borderId="0" xfId="0" applyFill="1" applyAlignment="1">
      <alignment horizontal="right"/>
    </xf>
    <xf numFmtId="166" fontId="0" fillId="4" borderId="0" xfId="0" applyNumberFormat="1" applyFill="1" applyAlignment="1">
      <alignment horizontal="right"/>
    </xf>
    <xf numFmtId="0" fontId="14" fillId="4" borderId="0" xfId="0" applyFont="1" applyFill="1"/>
    <xf numFmtId="0" fontId="14" fillId="4" borderId="0" xfId="0" applyFont="1" applyFill="1" applyAlignment="1">
      <alignment horizontal="right"/>
    </xf>
    <xf numFmtId="8" fontId="14" fillId="4" borderId="0" xfId="0" applyNumberFormat="1" applyFont="1" applyFill="1" applyAlignment="1">
      <alignment horizontal="right"/>
    </xf>
    <xf numFmtId="8" fontId="13" fillId="3" borderId="0" xfId="0" applyNumberFormat="1" applyFont="1" applyFill="1" applyAlignment="1">
      <alignment horizontal="right"/>
    </xf>
    <xf numFmtId="0" fontId="13" fillId="0" borderId="0" xfId="0" applyFont="1" applyAlignment="1">
      <alignment horizontal="right"/>
    </xf>
    <xf numFmtId="0" fontId="13" fillId="4" borderId="0" xfId="0" applyFont="1" applyFill="1" applyAlignment="1">
      <alignment horizontal="right"/>
    </xf>
    <xf numFmtId="166" fontId="13" fillId="0" borderId="0" xfId="0" applyNumberFormat="1" applyFont="1" applyAlignment="1">
      <alignment horizontal="right"/>
    </xf>
    <xf numFmtId="166" fontId="13" fillId="4" borderId="0" xfId="0" applyNumberFormat="1" applyFont="1" applyFill="1" applyAlignment="1">
      <alignment horizontal="right"/>
    </xf>
    <xf numFmtId="8" fontId="12" fillId="0" borderId="0" xfId="0" applyNumberFormat="1" applyFont="1" applyAlignment="1">
      <alignment horizontal="right"/>
    </xf>
    <xf numFmtId="8" fontId="12" fillId="3" borderId="0" xfId="0" applyNumberFormat="1" applyFont="1" applyFill="1" applyAlignment="1">
      <alignment horizontal="right"/>
    </xf>
    <xf numFmtId="167" fontId="12" fillId="0" borderId="0" xfId="2" applyNumberFormat="1" applyFont="1" applyAlignment="1">
      <alignment horizontal="right"/>
    </xf>
    <xf numFmtId="8" fontId="12" fillId="0" borderId="0" xfId="1" applyNumberFormat="1" applyFont="1" applyAlignment="1">
      <alignment horizontal="right"/>
    </xf>
    <xf numFmtId="0" fontId="13" fillId="3" borderId="0" xfId="0" applyFont="1" applyFill="1" applyAlignment="1">
      <alignment horizontal="right"/>
    </xf>
    <xf numFmtId="0" fontId="7" fillId="0" borderId="0" xfId="0" applyFont="1" applyAlignment="1">
      <alignment horizontal="center" vertical="center"/>
    </xf>
    <xf numFmtId="0" fontId="4" fillId="0" borderId="1" xfId="0" applyNumberFormat="1" applyFont="1" applyBorder="1" applyAlignment="1">
      <alignment horizontal="right"/>
    </xf>
    <xf numFmtId="0" fontId="4" fillId="0" borderId="0" xfId="0" applyNumberFormat="1" applyFont="1" applyAlignment="1">
      <alignment horizontal="right"/>
    </xf>
    <xf numFmtId="164" fontId="4" fillId="0" borderId="0" xfId="4" applyNumberFormat="1" applyFont="1" applyAlignment="1">
      <alignment horizontal="right"/>
    </xf>
    <xf numFmtId="164" fontId="4" fillId="0" borderId="1" xfId="4" applyNumberFormat="1" applyFont="1" applyBorder="1" applyAlignment="1">
      <alignment horizontal="right"/>
    </xf>
    <xf numFmtId="166" fontId="4" fillId="0" borderId="1" xfId="2" applyNumberFormat="1" applyFont="1" applyBorder="1" applyAlignment="1">
      <alignment horizontal="right"/>
    </xf>
    <xf numFmtId="166" fontId="4" fillId="0" borderId="0" xfId="2" applyNumberFormat="1" applyFont="1" applyAlignment="1">
      <alignment horizontal="right"/>
    </xf>
    <xf numFmtId="0" fontId="12" fillId="0" borderId="0" xfId="0" applyFont="1" applyAlignment="1" applyProtection="1">
      <alignment horizontal="right"/>
      <protection locked="0"/>
    </xf>
    <xf numFmtId="0" fontId="0" fillId="0" borderId="0" xfId="0" applyAlignment="1" applyProtection="1">
      <alignment horizontal="right"/>
      <protection locked="0"/>
    </xf>
    <xf numFmtId="0" fontId="10" fillId="3" borderId="0" xfId="0" applyFont="1" applyFill="1" applyAlignment="1" applyProtection="1">
      <alignment horizontal="right"/>
      <protection locked="0"/>
    </xf>
    <xf numFmtId="8" fontId="12" fillId="0" borderId="0" xfId="2" applyNumberFormat="1" applyFont="1" applyAlignment="1" applyProtection="1">
      <alignment horizontal="right"/>
      <protection locked="0"/>
    </xf>
    <xf numFmtId="8" fontId="12" fillId="0" borderId="1" xfId="2" applyNumberFormat="1" applyFont="1" applyBorder="1" applyAlignment="1" applyProtection="1">
      <alignment horizontal="right"/>
      <protection locked="0"/>
    </xf>
    <xf numFmtId="8" fontId="12" fillId="0" borderId="0" xfId="0" applyNumberFormat="1" applyFont="1" applyAlignment="1" applyProtection="1">
      <alignment horizontal="right"/>
      <protection locked="0"/>
    </xf>
    <xf numFmtId="166" fontId="12" fillId="0" borderId="0" xfId="2" applyNumberFormat="1" applyFont="1" applyAlignment="1" applyProtection="1">
      <alignment horizontal="right"/>
      <protection locked="0"/>
    </xf>
    <xf numFmtId="166" fontId="12" fillId="0" borderId="1" xfId="2" applyNumberFormat="1" applyFont="1" applyBorder="1" applyAlignment="1" applyProtection="1">
      <alignment horizontal="right"/>
      <protection locked="0"/>
    </xf>
    <xf numFmtId="166" fontId="12" fillId="0" borderId="0" xfId="0" applyNumberFormat="1" applyFont="1" applyAlignment="1" applyProtection="1">
      <alignment horizontal="right"/>
      <protection locked="0"/>
    </xf>
    <xf numFmtId="0" fontId="12" fillId="0" borderId="0" xfId="1" applyNumberFormat="1" applyFont="1" applyAlignment="1" applyProtection="1">
      <alignment horizontal="right"/>
      <protection locked="0"/>
    </xf>
    <xf numFmtId="167" fontId="12" fillId="0" borderId="0" xfId="2" applyNumberFormat="1" applyFont="1" applyAlignment="1" applyProtection="1">
      <alignment horizontal="right"/>
      <protection locked="0"/>
    </xf>
    <xf numFmtId="0" fontId="12" fillId="0" borderId="0" xfId="0" applyNumberFormat="1" applyFont="1" applyAlignment="1" applyProtection="1">
      <alignment horizontal="right"/>
      <protection locked="0"/>
    </xf>
    <xf numFmtId="165" fontId="12" fillId="0" borderId="0" xfId="1" applyNumberFormat="1" applyFont="1" applyAlignment="1" applyProtection="1">
      <alignment horizontal="right"/>
      <protection locked="0"/>
    </xf>
    <xf numFmtId="8" fontId="12" fillId="0" borderId="0" xfId="2" applyNumberFormat="1" applyFont="1" applyBorder="1" applyAlignment="1" applyProtection="1">
      <alignment horizontal="right"/>
      <protection locked="0"/>
    </xf>
    <xf numFmtId="0" fontId="11" fillId="0" borderId="0" xfId="0" applyFont="1" applyAlignment="1" applyProtection="1">
      <alignment horizontal="right"/>
      <protection locked="0"/>
    </xf>
    <xf numFmtId="44" fontId="0" fillId="0" borderId="0" xfId="2" applyFont="1" applyProtection="1">
      <protection locked="0"/>
    </xf>
    <xf numFmtId="43" fontId="12" fillId="0" borderId="0" xfId="1" applyFont="1" applyAlignment="1" applyProtection="1">
      <alignment horizontal="right"/>
      <protection locked="0"/>
    </xf>
    <xf numFmtId="44" fontId="0" fillId="0" borderId="0" xfId="2" applyFont="1"/>
    <xf numFmtId="44" fontId="0" fillId="0" borderId="0" xfId="0" applyNumberFormat="1"/>
    <xf numFmtId="44" fontId="12" fillId="0" borderId="0" xfId="2" applyFont="1" applyAlignment="1" applyProtection="1">
      <alignment horizontal="right"/>
      <protection locked="0"/>
    </xf>
    <xf numFmtId="44" fontId="2" fillId="0" borderId="2" xfId="0" applyNumberFormat="1" applyFont="1" applyBorder="1" applyAlignment="1">
      <alignment horizontal="right"/>
    </xf>
    <xf numFmtId="0" fontId="8" fillId="0" borderId="0" xfId="3" applyFont="1" applyFill="1" applyBorder="1" applyAlignment="1" applyProtection="1">
      <alignment vertical="center" wrapText="1"/>
    </xf>
    <xf numFmtId="0" fontId="18" fillId="0" borderId="0"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vertical="center"/>
    </xf>
    <xf numFmtId="0" fontId="6"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Alignment="1">
      <alignment horizontal="left" vertical="center" wrapText="1"/>
    </xf>
    <xf numFmtId="0" fontId="4"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18" fillId="0" borderId="0" xfId="0" applyFont="1" applyFill="1" applyAlignment="1">
      <alignment horizontal="center" vertical="center"/>
    </xf>
    <xf numFmtId="0" fontId="18" fillId="0" borderId="0" xfId="0" applyFont="1" applyAlignment="1">
      <alignment vertical="center"/>
    </xf>
    <xf numFmtId="0" fontId="18" fillId="0" borderId="0" xfId="0" applyFont="1" applyFill="1" applyAlignment="1">
      <alignment vertical="center"/>
    </xf>
    <xf numFmtId="0" fontId="0" fillId="0" borderId="0" xfId="0" applyProtection="1"/>
    <xf numFmtId="0" fontId="0" fillId="0" borderId="0" xfId="0" applyAlignment="1" applyProtection="1">
      <alignment horizontal="right"/>
    </xf>
    <xf numFmtId="8" fontId="0" fillId="0" borderId="0" xfId="0" applyNumberFormat="1" applyAlignment="1" applyProtection="1">
      <alignment horizontal="right"/>
    </xf>
    <xf numFmtId="40" fontId="0" fillId="0" borderId="0" xfId="0" applyNumberFormat="1" applyAlignment="1" applyProtection="1">
      <alignment horizontal="right"/>
    </xf>
    <xf numFmtId="0" fontId="2" fillId="0" borderId="0" xfId="0" applyFont="1" applyProtection="1"/>
    <xf numFmtId="8" fontId="0" fillId="0" borderId="0" xfId="0" applyNumberFormat="1" applyFill="1" applyBorder="1" applyAlignment="1" applyProtection="1">
      <alignment horizontal="right"/>
    </xf>
    <xf numFmtId="40" fontId="0" fillId="0" borderId="0" xfId="0" applyNumberFormat="1" applyFill="1" applyBorder="1" applyAlignment="1" applyProtection="1">
      <alignment horizontal="right"/>
    </xf>
    <xf numFmtId="0" fontId="2" fillId="0" borderId="2" xfId="0" applyFont="1" applyBorder="1" applyAlignment="1" applyProtection="1">
      <alignment horizontal="right"/>
    </xf>
    <xf numFmtId="8" fontId="2" fillId="0" borderId="2" xfId="0" applyNumberFormat="1" applyFont="1" applyBorder="1" applyAlignment="1" applyProtection="1">
      <alignment horizontal="right"/>
    </xf>
    <xf numFmtId="40" fontId="2" fillId="0" borderId="2" xfId="0" applyNumberFormat="1" applyFont="1" applyBorder="1" applyAlignment="1" applyProtection="1">
      <alignment horizontal="right"/>
    </xf>
    <xf numFmtId="0" fontId="4" fillId="0" borderId="0" xfId="0" applyFont="1" applyProtection="1"/>
    <xf numFmtId="0" fontId="15" fillId="3" borderId="0" xfId="0" applyFont="1" applyFill="1" applyProtection="1"/>
    <xf numFmtId="0" fontId="0" fillId="0" borderId="0" xfId="0" applyBorder="1" applyProtection="1"/>
    <xf numFmtId="0" fontId="2" fillId="0" borderId="0" xfId="0" applyFont="1" applyBorder="1" applyProtection="1"/>
    <xf numFmtId="0" fontId="2" fillId="0" borderId="2" xfId="0" applyFont="1" applyBorder="1" applyProtection="1"/>
    <xf numFmtId="0" fontId="0" fillId="3" borderId="0" xfId="0" applyFill="1" applyProtection="1"/>
    <xf numFmtId="0" fontId="10" fillId="3" borderId="0" xfId="0" applyFont="1" applyFill="1" applyProtection="1"/>
    <xf numFmtId="0" fontId="3" fillId="0" borderId="0" xfId="0" applyFont="1" applyProtection="1"/>
    <xf numFmtId="0" fontId="1" fillId="0" borderId="0" xfId="0" applyFont="1"/>
    <xf numFmtId="0" fontId="4"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0" fillId="5" borderId="12" xfId="0" applyFill="1" applyBorder="1" applyAlignment="1">
      <alignment vertical="center"/>
    </xf>
    <xf numFmtId="0" fontId="7" fillId="5" borderId="13" xfId="0" applyFont="1" applyFill="1" applyBorder="1" applyAlignment="1" applyProtection="1">
      <alignment vertical="center"/>
    </xf>
    <xf numFmtId="0" fontId="7" fillId="5" borderId="13" xfId="0" applyFont="1" applyFill="1" applyBorder="1" applyAlignment="1" applyProtection="1">
      <alignment horizontal="center" vertical="center"/>
    </xf>
    <xf numFmtId="0" fontId="20" fillId="5" borderId="14" xfId="0" applyFont="1" applyFill="1" applyBorder="1" applyAlignment="1" applyProtection="1">
      <alignment vertical="center"/>
    </xf>
    <xf numFmtId="0" fontId="0" fillId="0" borderId="1" xfId="0" applyBorder="1" applyAlignment="1">
      <alignment vertical="center"/>
    </xf>
    <xf numFmtId="0" fontId="22" fillId="0" borderId="1" xfId="0" applyFont="1" applyBorder="1"/>
    <xf numFmtId="0" fontId="24" fillId="0" borderId="0" xfId="0" applyFont="1"/>
    <xf numFmtId="0" fontId="23" fillId="0" borderId="15" xfId="0" applyFont="1" applyBorder="1" applyAlignment="1">
      <alignment horizontal="center"/>
    </xf>
    <xf numFmtId="0" fontId="17" fillId="5" borderId="9" xfId="3" applyFont="1" applyFill="1" applyBorder="1" applyAlignment="1" applyProtection="1">
      <alignment horizontal="center" vertical="center" wrapText="1"/>
    </xf>
    <xf numFmtId="0" fontId="17" fillId="5" borderId="10" xfId="3" applyFont="1" applyFill="1" applyBorder="1" applyAlignment="1" applyProtection="1">
      <alignment horizontal="center" vertical="center" wrapText="1"/>
    </xf>
    <xf numFmtId="0" fontId="17" fillId="5" borderId="11" xfId="3" applyFont="1" applyFill="1" applyBorder="1" applyAlignment="1" applyProtection="1">
      <alignment horizontal="center" vertical="center" wrapText="1"/>
    </xf>
    <xf numFmtId="0" fontId="17" fillId="5" borderId="9" xfId="3" applyFont="1" applyFill="1" applyBorder="1" applyAlignment="1" applyProtection="1">
      <alignment horizontal="center" vertical="center"/>
    </xf>
    <xf numFmtId="0" fontId="17" fillId="5" borderId="10" xfId="3" applyFont="1" applyFill="1" applyBorder="1" applyAlignment="1" applyProtection="1">
      <alignment horizontal="center" vertical="center"/>
    </xf>
    <xf numFmtId="0" fontId="17" fillId="5" borderId="11" xfId="3" applyFont="1" applyFill="1" applyBorder="1" applyAlignment="1" applyProtection="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21" fillId="0" borderId="0"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16" fillId="0" borderId="0" xfId="0" applyFont="1" applyAlignment="1">
      <alignment horizontal="center"/>
    </xf>
    <xf numFmtId="8" fontId="8" fillId="5" borderId="3" xfId="3" applyNumberFormat="1" applyFont="1" applyFill="1" applyBorder="1" applyAlignment="1" applyProtection="1">
      <alignment horizontal="center" vertical="center" wrapText="1"/>
    </xf>
    <xf numFmtId="8" fontId="8" fillId="5" borderId="4" xfId="3" applyNumberFormat="1" applyFont="1" applyFill="1" applyBorder="1" applyAlignment="1" applyProtection="1">
      <alignment horizontal="center" vertical="center" wrapText="1"/>
    </xf>
    <xf numFmtId="8" fontId="8" fillId="5" borderId="5" xfId="3" applyNumberFormat="1" applyFont="1" applyFill="1" applyBorder="1" applyAlignment="1" applyProtection="1">
      <alignment horizontal="center" vertical="center" wrapText="1"/>
    </xf>
    <xf numFmtId="8" fontId="8" fillId="5" borderId="6" xfId="3" applyNumberFormat="1" applyFont="1" applyFill="1" applyBorder="1" applyAlignment="1" applyProtection="1">
      <alignment horizontal="center" vertical="center" wrapText="1"/>
    </xf>
    <xf numFmtId="8" fontId="8" fillId="5" borderId="7" xfId="3" applyNumberFormat="1" applyFont="1" applyFill="1" applyBorder="1" applyAlignment="1" applyProtection="1">
      <alignment horizontal="center" vertical="center" wrapText="1"/>
    </xf>
    <xf numFmtId="8" fontId="8" fillId="5" borderId="8" xfId="3" applyNumberFormat="1" applyFont="1" applyFill="1" applyBorder="1" applyAlignment="1" applyProtection="1">
      <alignment horizontal="center" vertical="center" wrapText="1"/>
    </xf>
    <xf numFmtId="0" fontId="3" fillId="0" borderId="0" xfId="0" applyFont="1" applyAlignment="1">
      <alignment wrapText="1"/>
    </xf>
    <xf numFmtId="0" fontId="8" fillId="5" borderId="3" xfId="3" applyFont="1" applyFill="1" applyBorder="1" applyAlignment="1" applyProtection="1">
      <alignment horizontal="center" vertical="center" wrapText="1"/>
    </xf>
    <xf numFmtId="0" fontId="8" fillId="5" borderId="4" xfId="3" applyFont="1" applyFill="1" applyBorder="1" applyAlignment="1" applyProtection="1">
      <alignment horizontal="center" vertical="center" wrapText="1"/>
    </xf>
    <xf numFmtId="0" fontId="8" fillId="5" borderId="5" xfId="3" applyFont="1" applyFill="1" applyBorder="1" applyAlignment="1" applyProtection="1">
      <alignment horizontal="center" vertical="center" wrapText="1"/>
    </xf>
    <xf numFmtId="0" fontId="8" fillId="5" borderId="6" xfId="3" applyFont="1" applyFill="1" applyBorder="1" applyAlignment="1" applyProtection="1">
      <alignment horizontal="center" vertical="center" wrapText="1"/>
    </xf>
    <xf numFmtId="0" fontId="8" fillId="5" borderId="7" xfId="3" applyFont="1" applyFill="1" applyBorder="1" applyAlignment="1" applyProtection="1">
      <alignment horizontal="center" vertical="center" wrapText="1"/>
    </xf>
    <xf numFmtId="0" fontId="8" fillId="5" borderId="8" xfId="3" applyFont="1" applyFill="1" applyBorder="1" applyAlignment="1" applyProtection="1">
      <alignment horizontal="center" vertical="center" wrapText="1"/>
    </xf>
    <xf numFmtId="0" fontId="5" fillId="0" borderId="0" xfId="0" applyFont="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22860</xdr:colOff>
      <xdr:row>0</xdr:row>
      <xdr:rowOff>376385</xdr:rowOff>
    </xdr:to>
    <xdr:pic>
      <xdr:nvPicPr>
        <xdr:cNvPr id="2" name="Picture 1" descr="CESheader.tiff"/>
        <xdr:cNvPicPr>
          <a:picLocks noChangeAspect="1"/>
        </xdr:cNvPicPr>
      </xdr:nvPicPr>
      <xdr:blipFill>
        <a:blip xmlns:r="http://schemas.openxmlformats.org/officeDocument/2006/relationships" r:embed="rId1" cstate="print"/>
        <a:stretch>
          <a:fillRect/>
        </a:stretch>
      </xdr:blipFill>
      <xdr:spPr>
        <a:xfrm>
          <a:off x="0" y="0"/>
          <a:ext cx="5737860" cy="3763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45"/>
  <sheetViews>
    <sheetView showGridLines="0" tabSelected="1" zoomScaleNormal="100" workbookViewId="0">
      <selection activeCell="C2" sqref="C2:G2"/>
    </sheetView>
  </sheetViews>
  <sheetFormatPr defaultColWidth="8.85546875" defaultRowHeight="12.75" x14ac:dyDescent="0.2"/>
  <cols>
    <col min="1" max="1" width="11.42578125" style="123" customWidth="1"/>
    <col min="2" max="2" width="9.140625" style="123" customWidth="1"/>
    <col min="3" max="3" width="18.7109375" style="123" customWidth="1"/>
    <col min="4" max="4" width="4.7109375" style="123" customWidth="1"/>
    <col min="5" max="5" width="18.7109375" style="123" customWidth="1"/>
    <col min="6" max="6" width="4.7109375" style="123" customWidth="1"/>
    <col min="7" max="7" width="18.7109375" style="123" customWidth="1"/>
    <col min="8" max="8" width="8.85546875" style="123"/>
    <col min="9" max="9" width="18.7109375" style="123" customWidth="1"/>
    <col min="10" max="16384" width="8.85546875" style="123"/>
  </cols>
  <sheetData>
    <row r="1" spans="2:10" ht="37.15" customHeight="1" x14ac:dyDescent="0.2"/>
    <row r="2" spans="2:10" ht="27.6" customHeight="1" x14ac:dyDescent="0.2">
      <c r="B2" s="129"/>
      <c r="C2" s="172" t="s">
        <v>193</v>
      </c>
      <c r="D2" s="172"/>
      <c r="E2" s="172"/>
      <c r="F2" s="172"/>
      <c r="G2" s="172"/>
      <c r="H2" s="128"/>
    </row>
    <row r="3" spans="2:10" ht="11.45" customHeight="1" x14ac:dyDescent="0.2">
      <c r="C3" s="154"/>
      <c r="D3" s="154"/>
      <c r="E3" s="154"/>
      <c r="F3" s="154"/>
      <c r="G3" s="154"/>
    </row>
    <row r="4" spans="2:10" ht="12.6" customHeight="1" x14ac:dyDescent="0.2">
      <c r="C4" s="173" t="s">
        <v>191</v>
      </c>
      <c r="D4" s="173"/>
      <c r="E4" s="173"/>
      <c r="F4" s="173"/>
      <c r="G4" s="173"/>
      <c r="H4"/>
    </row>
    <row r="5" spans="2:10" ht="12.6" customHeight="1" x14ac:dyDescent="0.2">
      <c r="C5" s="174" t="s">
        <v>186</v>
      </c>
      <c r="D5" s="174"/>
      <c r="E5" s="174"/>
      <c r="F5" s="174"/>
      <c r="G5" s="174"/>
      <c r="H5"/>
    </row>
    <row r="6" spans="2:10" ht="12.6" customHeight="1" x14ac:dyDescent="0.2">
      <c r="C6" s="174" t="s">
        <v>187</v>
      </c>
      <c r="D6" s="174"/>
      <c r="E6" s="174"/>
      <c r="F6" s="174"/>
      <c r="G6" s="174"/>
      <c r="H6"/>
    </row>
    <row r="7" spans="2:10" ht="12.6" customHeight="1" x14ac:dyDescent="0.2">
      <c r="C7" s="174" t="s">
        <v>188</v>
      </c>
      <c r="D7" s="174"/>
      <c r="E7" s="174"/>
      <c r="F7" s="174"/>
      <c r="G7" s="174"/>
      <c r="H7"/>
    </row>
    <row r="8" spans="2:10" ht="12.6" customHeight="1" x14ac:dyDescent="0.2">
      <c r="C8" s="174" t="s">
        <v>189</v>
      </c>
      <c r="D8" s="174"/>
      <c r="E8" s="174"/>
      <c r="F8" s="174"/>
      <c r="G8" s="174"/>
      <c r="H8"/>
    </row>
    <row r="9" spans="2:10" ht="12.6" customHeight="1" x14ac:dyDescent="0.2">
      <c r="C9"/>
      <c r="D9"/>
      <c r="E9"/>
      <c r="F9"/>
      <c r="G9"/>
      <c r="H9"/>
    </row>
    <row r="10" spans="2:10" ht="12.6" customHeight="1" x14ac:dyDescent="0.2">
      <c r="C10" s="173" t="s">
        <v>192</v>
      </c>
      <c r="D10" s="173"/>
      <c r="E10" s="173"/>
      <c r="F10" s="173"/>
      <c r="G10" s="173"/>
      <c r="H10"/>
    </row>
    <row r="11" spans="2:10" ht="12.6" customHeight="1" x14ac:dyDescent="0.2">
      <c r="C11" s="174" t="s">
        <v>190</v>
      </c>
      <c r="D11" s="174"/>
      <c r="E11" s="174"/>
      <c r="F11" s="174"/>
      <c r="G11" s="174"/>
      <c r="H11"/>
      <c r="I11" s="126"/>
      <c r="J11" s="126"/>
    </row>
    <row r="12" spans="2:10" ht="13.15" customHeight="1" x14ac:dyDescent="0.2">
      <c r="C12" s="155"/>
      <c r="D12" s="155"/>
      <c r="E12" s="155"/>
      <c r="F12" s="155"/>
      <c r="G12" s="155"/>
    </row>
    <row r="13" spans="2:10" ht="7.15" customHeight="1" thickBot="1" x14ac:dyDescent="0.25">
      <c r="B13" s="128"/>
      <c r="I13" s="129"/>
    </row>
    <row r="14" spans="2:10" ht="18" customHeight="1" thickBot="1" x14ac:dyDescent="0.25">
      <c r="C14" s="156"/>
      <c r="D14" s="157"/>
      <c r="E14" s="158" t="s">
        <v>147</v>
      </c>
      <c r="F14" s="157"/>
      <c r="G14" s="159"/>
      <c r="H14" s="124"/>
      <c r="I14" s="120"/>
    </row>
    <row r="15" spans="2:10" ht="13.5" customHeight="1" x14ac:dyDescent="0.2">
      <c r="D15" s="125"/>
      <c r="E15" s="125"/>
      <c r="F15" s="125"/>
      <c r="G15" s="125"/>
      <c r="H15" s="125"/>
      <c r="I15" s="120"/>
    </row>
    <row r="16" spans="2:10" ht="82.9" customHeight="1" x14ac:dyDescent="0.2">
      <c r="C16" s="170" t="s">
        <v>184</v>
      </c>
      <c r="D16" s="171"/>
      <c r="E16" s="171"/>
      <c r="F16" s="171"/>
      <c r="G16" s="171"/>
      <c r="H16" s="153"/>
      <c r="I16" s="120"/>
    </row>
    <row r="17" spans="2:10" ht="13.5" customHeight="1" thickBot="1" x14ac:dyDescent="0.25">
      <c r="I17" s="129"/>
    </row>
    <row r="18" spans="2:10" ht="13.5" customHeight="1" x14ac:dyDescent="0.2">
      <c r="B18" s="128"/>
      <c r="C18" s="167" t="s">
        <v>155</v>
      </c>
      <c r="D18" s="122"/>
      <c r="E18" s="167" t="s">
        <v>161</v>
      </c>
      <c r="F18" s="122"/>
      <c r="G18" s="164" t="s">
        <v>166</v>
      </c>
      <c r="H18" s="127"/>
    </row>
    <row r="19" spans="2:10" ht="13.5" customHeight="1" x14ac:dyDescent="0.2">
      <c r="B19" s="128"/>
      <c r="C19" s="168"/>
      <c r="D19" s="122"/>
      <c r="E19" s="168"/>
      <c r="F19" s="122"/>
      <c r="G19" s="165"/>
      <c r="H19" s="127"/>
    </row>
    <row r="20" spans="2:10" ht="13.5" customHeight="1" thickBot="1" x14ac:dyDescent="0.25">
      <c r="B20" s="128"/>
      <c r="C20" s="169"/>
      <c r="D20" s="122"/>
      <c r="E20" s="169"/>
      <c r="F20" s="122"/>
      <c r="G20" s="166"/>
      <c r="H20" s="127"/>
      <c r="J20" s="128"/>
    </row>
    <row r="21" spans="2:10" ht="13.5" customHeight="1" thickBot="1" x14ac:dyDescent="0.25">
      <c r="C21" s="132"/>
      <c r="D21" s="121"/>
      <c r="E21" s="132"/>
      <c r="F21" s="122"/>
      <c r="G21" s="122"/>
      <c r="H21" s="127"/>
      <c r="J21" s="128"/>
    </row>
    <row r="22" spans="2:10" ht="13.5" customHeight="1" x14ac:dyDescent="0.2">
      <c r="C22" s="167" t="s">
        <v>156</v>
      </c>
      <c r="D22" s="121"/>
      <c r="E22" s="164" t="s">
        <v>162</v>
      </c>
      <c r="F22" s="121"/>
      <c r="G22" s="164" t="s">
        <v>167</v>
      </c>
      <c r="H22" s="127"/>
      <c r="J22" s="129"/>
    </row>
    <row r="23" spans="2:10" ht="13.5" customHeight="1" x14ac:dyDescent="0.2">
      <c r="C23" s="168"/>
      <c r="D23" s="122"/>
      <c r="E23" s="165"/>
      <c r="F23" s="121"/>
      <c r="G23" s="165"/>
      <c r="H23" s="127"/>
      <c r="J23" s="129"/>
    </row>
    <row r="24" spans="2:10" ht="13.5" customHeight="1" thickBot="1" x14ac:dyDescent="0.25">
      <c r="C24" s="169"/>
      <c r="D24" s="121"/>
      <c r="E24" s="166"/>
      <c r="F24" s="121"/>
      <c r="G24" s="166"/>
      <c r="H24" s="127"/>
      <c r="J24" s="129"/>
    </row>
    <row r="25" spans="2:10" ht="13.5" customHeight="1" thickBot="1" x14ac:dyDescent="0.25">
      <c r="C25" s="121"/>
      <c r="D25" s="121"/>
      <c r="E25" s="132"/>
      <c r="F25" s="122"/>
      <c r="G25" s="132"/>
      <c r="H25" s="92"/>
    </row>
    <row r="26" spans="2:10" ht="13.5" customHeight="1" x14ac:dyDescent="0.2">
      <c r="C26" s="167" t="s">
        <v>157</v>
      </c>
      <c r="D26" s="122"/>
      <c r="E26" s="164" t="s">
        <v>163</v>
      </c>
      <c r="F26" s="122"/>
      <c r="G26" s="164" t="s">
        <v>185</v>
      </c>
      <c r="H26" s="127"/>
    </row>
    <row r="27" spans="2:10" ht="13.5" customHeight="1" x14ac:dyDescent="0.2">
      <c r="C27" s="168"/>
      <c r="D27" s="121"/>
      <c r="E27" s="165"/>
      <c r="F27" s="122"/>
      <c r="G27" s="165"/>
      <c r="H27" s="127"/>
    </row>
    <row r="28" spans="2:10" ht="13.5" customHeight="1" thickBot="1" x14ac:dyDescent="0.25">
      <c r="C28" s="169"/>
      <c r="D28" s="121"/>
      <c r="E28" s="166"/>
      <c r="F28" s="122"/>
      <c r="G28" s="166"/>
      <c r="H28" s="127"/>
    </row>
    <row r="29" spans="2:10" ht="12" customHeight="1" thickBot="1" x14ac:dyDescent="0.25">
      <c r="C29" s="132"/>
      <c r="D29" s="121"/>
      <c r="E29" s="132"/>
      <c r="F29" s="122"/>
      <c r="G29" s="132"/>
      <c r="H29" s="127"/>
    </row>
    <row r="30" spans="2:10" ht="13.15" customHeight="1" x14ac:dyDescent="0.2">
      <c r="C30" s="164" t="s">
        <v>158</v>
      </c>
      <c r="D30" s="122"/>
      <c r="E30" s="164" t="s">
        <v>164</v>
      </c>
      <c r="F30" s="122"/>
      <c r="G30" s="164" t="s">
        <v>168</v>
      </c>
      <c r="H30" s="127"/>
    </row>
    <row r="31" spans="2:10" ht="13.15" customHeight="1" x14ac:dyDescent="0.2">
      <c r="C31" s="165"/>
      <c r="D31" s="122"/>
      <c r="E31" s="165"/>
      <c r="F31" s="122"/>
      <c r="G31" s="165"/>
      <c r="H31" s="130"/>
    </row>
    <row r="32" spans="2:10" ht="13.9" customHeight="1" thickBot="1" x14ac:dyDescent="0.25">
      <c r="C32" s="166"/>
      <c r="D32" s="122"/>
      <c r="E32" s="166"/>
      <c r="F32" s="122"/>
      <c r="G32" s="166"/>
      <c r="H32" s="127"/>
    </row>
    <row r="33" spans="2:8" ht="20.25" thickBot="1" x14ac:dyDescent="0.25">
      <c r="C33" s="132"/>
      <c r="D33" s="122"/>
      <c r="E33" s="132"/>
      <c r="F33" s="122"/>
      <c r="G33" s="132"/>
      <c r="H33" s="127"/>
    </row>
    <row r="34" spans="2:8" ht="19.5" x14ac:dyDescent="0.2">
      <c r="C34" s="164" t="s">
        <v>159</v>
      </c>
      <c r="D34" s="122"/>
      <c r="E34" s="167" t="s">
        <v>172</v>
      </c>
      <c r="F34" s="131"/>
      <c r="G34" s="164" t="s">
        <v>169</v>
      </c>
      <c r="H34" s="127"/>
    </row>
    <row r="35" spans="2:8" ht="19.5" x14ac:dyDescent="0.2">
      <c r="C35" s="165"/>
      <c r="D35" s="122"/>
      <c r="E35" s="168"/>
      <c r="F35" s="131"/>
      <c r="G35" s="165"/>
      <c r="H35" s="127"/>
    </row>
    <row r="36" spans="2:8" ht="20.25" thickBot="1" x14ac:dyDescent="0.25">
      <c r="C36" s="166"/>
      <c r="D36" s="122"/>
      <c r="E36" s="169"/>
      <c r="F36" s="131"/>
      <c r="G36" s="166"/>
      <c r="H36" s="127"/>
    </row>
    <row r="37" spans="2:8" ht="20.25" thickBot="1" x14ac:dyDescent="0.25">
      <c r="C37" s="122"/>
      <c r="D37" s="132"/>
      <c r="E37" s="132"/>
      <c r="F37" s="133"/>
      <c r="G37" s="132"/>
    </row>
    <row r="38" spans="2:8" ht="19.5" x14ac:dyDescent="0.2">
      <c r="C38" s="167" t="s">
        <v>160</v>
      </c>
      <c r="D38" s="132"/>
      <c r="E38" s="164" t="s">
        <v>165</v>
      </c>
      <c r="F38" s="132"/>
      <c r="G38" s="164" t="s">
        <v>170</v>
      </c>
    </row>
    <row r="39" spans="2:8" ht="19.5" x14ac:dyDescent="0.2">
      <c r="C39" s="168"/>
      <c r="D39" s="132"/>
      <c r="E39" s="165"/>
      <c r="F39" s="132"/>
      <c r="G39" s="165"/>
    </row>
    <row r="40" spans="2:8" ht="20.25" thickBot="1" x14ac:dyDescent="0.25">
      <c r="C40" s="169"/>
      <c r="D40" s="132"/>
      <c r="E40" s="166"/>
      <c r="F40" s="132"/>
      <c r="G40" s="166"/>
    </row>
    <row r="41" spans="2:8" ht="20.45" customHeight="1" x14ac:dyDescent="0.2">
      <c r="B41" s="160"/>
      <c r="C41" s="160"/>
      <c r="D41" s="160"/>
      <c r="E41" s="160"/>
      <c r="F41" s="160"/>
      <c r="G41" s="160"/>
      <c r="H41" s="160"/>
    </row>
    <row r="42" spans="2:8" ht="13.5" x14ac:dyDescent="0.25">
      <c r="B42" s="163" t="s">
        <v>195</v>
      </c>
      <c r="C42" s="163"/>
      <c r="D42" s="163"/>
      <c r="E42" s="163"/>
      <c r="F42" s="163"/>
      <c r="G42" s="163"/>
      <c r="H42" s="163"/>
    </row>
    <row r="43" spans="2:8" ht="1.1499999999999999" customHeight="1" x14ac:dyDescent="0.2">
      <c r="B43" s="161"/>
      <c r="C43" s="160"/>
      <c r="D43" s="160"/>
      <c r="E43" s="160"/>
      <c r="F43" s="160"/>
      <c r="G43" s="160"/>
      <c r="H43" s="160"/>
    </row>
    <row r="44" spans="2:8" ht="7.9" customHeight="1" x14ac:dyDescent="0.2"/>
    <row r="45" spans="2:8" x14ac:dyDescent="0.15">
      <c r="B45" s="162" t="s">
        <v>196</v>
      </c>
    </row>
  </sheetData>
  <sheetProtection password="CA11" sheet="1" objects="1" scenarios="1"/>
  <mergeCells count="28">
    <mergeCell ref="C16:G16"/>
    <mergeCell ref="C2:G2"/>
    <mergeCell ref="C4:G4"/>
    <mergeCell ref="C5:G5"/>
    <mergeCell ref="C6:G6"/>
    <mergeCell ref="C7:G7"/>
    <mergeCell ref="C8:G8"/>
    <mergeCell ref="C10:G10"/>
    <mergeCell ref="C11:G11"/>
    <mergeCell ref="G26:G28"/>
    <mergeCell ref="E38:E40"/>
    <mergeCell ref="C26:C28"/>
    <mergeCell ref="C34:C36"/>
    <mergeCell ref="E18:E20"/>
    <mergeCell ref="E30:E32"/>
    <mergeCell ref="E34:E36"/>
    <mergeCell ref="C30:C32"/>
    <mergeCell ref="E22:E24"/>
    <mergeCell ref="E26:E28"/>
    <mergeCell ref="G18:G20"/>
    <mergeCell ref="G22:G24"/>
    <mergeCell ref="C18:C20"/>
    <mergeCell ref="C22:C24"/>
    <mergeCell ref="B42:H42"/>
    <mergeCell ref="G34:G36"/>
    <mergeCell ref="G38:G40"/>
    <mergeCell ref="C38:C40"/>
    <mergeCell ref="G30:G32"/>
  </mergeCells>
  <hyperlinks>
    <hyperlink ref="C18:C20" location="Broccoli!A1" display="Broccoli"/>
    <hyperlink ref="C22:C24" location="Cabbage!A1" display="Cabbage"/>
    <hyperlink ref="C26:C28" location="Cucumber!A1" display="Cucumber"/>
    <hyperlink ref="C30:C32" location="'Cucumber-Trellis'!A1" display="Cucumber, Trellised"/>
    <hyperlink ref="C34:C36" location="Eggplant" display="Eggplant"/>
    <hyperlink ref="C38:C40" location="Muskmelon!A1" display="Muskmelon"/>
    <hyperlink ref="E18:E20" location="Okra!A1" display="Okra"/>
    <hyperlink ref="E22:E24" location="Pepper" display="Pepper, Bell"/>
    <hyperlink ref="E26:E28" location="'Pepper-Jalepeno'!A1" display="Pepper, Jalepeno"/>
    <hyperlink ref="E30:E32" location="Potato!A1" display="Potato"/>
    <hyperlink ref="E34:E36" location="Pumpkin" display="Pumpkin"/>
    <hyperlink ref="E38:E40" location="'Squash-Summer'!A1" display="Squash, Summer"/>
    <hyperlink ref="G22:G24" location="'Sweet Corn'!A1" display="Sweet Corn"/>
    <hyperlink ref="G30:G32" location="Tomato!A1" display="Tomato"/>
    <hyperlink ref="G34:G36" location="Watermelon!A1" display="Watermelon, Seeded"/>
    <hyperlink ref="G38:G40" location="'Watermelon-Sdless'!A1" display="Watermelon, Seedless"/>
    <hyperlink ref="G26:G28" location="Sweetpotato!Sweet_corn" display="Sweetpotato"/>
    <hyperlink ref="G18:G20" location="'Squash-Winter'!A1" display="Squash, Winter"/>
  </hyperlinks>
  <printOptions horizontalCentered="1"/>
  <pageMargins left="0.7" right="0.7" top="0.75" bottom="0.75" header="0.3" footer="0.3"/>
  <pageSetup scale="80"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G66"/>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151</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1" t="s">
        <v>2</v>
      </c>
      <c r="F8" s="31" t="s">
        <v>3</v>
      </c>
    </row>
    <row r="9" spans="2:7" x14ac:dyDescent="0.2">
      <c r="B9" s="1" t="s">
        <v>4</v>
      </c>
    </row>
    <row r="10" spans="2:7" x14ac:dyDescent="0.2">
      <c r="B10" t="s">
        <v>90</v>
      </c>
      <c r="C10" s="99">
        <v>1300</v>
      </c>
      <c r="D10" s="5" t="s">
        <v>27</v>
      </c>
      <c r="E10" s="102">
        <v>8.75</v>
      </c>
      <c r="F10" s="35">
        <f>C10*E10</f>
        <v>11375</v>
      </c>
      <c r="G10" s="2"/>
    </row>
    <row r="11" spans="2:7" x14ac:dyDescent="0.2">
      <c r="E11" s="73"/>
    </row>
    <row r="12" spans="2:7" ht="12.75" customHeight="1" x14ac:dyDescent="0.2">
      <c r="B12" s="23"/>
      <c r="C12" s="24"/>
      <c r="D12" s="24"/>
      <c r="E12" s="82"/>
      <c r="F12" s="46"/>
    </row>
    <row r="13" spans="2:7" x14ac:dyDescent="0.2">
      <c r="B13" s="1" t="s">
        <v>7</v>
      </c>
      <c r="E13" s="73"/>
    </row>
    <row r="14" spans="2:7" x14ac:dyDescent="0.2">
      <c r="B14" s="1" t="s">
        <v>131</v>
      </c>
      <c r="E14" s="73"/>
    </row>
    <row r="15" spans="2:7" x14ac:dyDescent="0.2">
      <c r="B15" t="s">
        <v>73</v>
      </c>
      <c r="C15" s="99">
        <v>12</v>
      </c>
      <c r="D15" s="5" t="s">
        <v>74</v>
      </c>
      <c r="E15" s="102">
        <v>65</v>
      </c>
      <c r="F15" s="35">
        <f>C15*E15</f>
        <v>780</v>
      </c>
    </row>
    <row r="16" spans="2:7" x14ac:dyDescent="0.2">
      <c r="B16" t="s">
        <v>9</v>
      </c>
      <c r="C16" s="99">
        <v>0.5</v>
      </c>
      <c r="D16" s="4" t="s">
        <v>10</v>
      </c>
      <c r="E16" s="102">
        <v>20</v>
      </c>
      <c r="F16" s="35">
        <f>C16*E16</f>
        <v>10</v>
      </c>
    </row>
    <row r="17" spans="2:7" x14ac:dyDescent="0.2">
      <c r="B17" t="s">
        <v>54</v>
      </c>
      <c r="C17" s="99">
        <v>12</v>
      </c>
      <c r="D17" s="4" t="s">
        <v>55</v>
      </c>
      <c r="E17" s="102">
        <v>28</v>
      </c>
      <c r="F17" s="35">
        <f>C17*E17</f>
        <v>336</v>
      </c>
    </row>
    <row r="18" spans="2:7" x14ac:dyDescent="0.2">
      <c r="B18" t="s">
        <v>88</v>
      </c>
      <c r="C18" s="99">
        <v>75</v>
      </c>
      <c r="D18" s="4" t="s">
        <v>34</v>
      </c>
      <c r="E18" s="102">
        <v>0.5</v>
      </c>
      <c r="F18" s="35">
        <f>C18*E18</f>
        <v>37.5</v>
      </c>
    </row>
    <row r="19" spans="2:7" x14ac:dyDescent="0.2">
      <c r="B19" t="s">
        <v>57</v>
      </c>
      <c r="C19" s="4">
        <v>1</v>
      </c>
      <c r="D19" s="4" t="s">
        <v>18</v>
      </c>
      <c r="E19" s="102">
        <v>382</v>
      </c>
      <c r="F19" s="35">
        <f>C19*E19</f>
        <v>382</v>
      </c>
      <c r="G19" s="2"/>
    </row>
    <row r="20" spans="2:7" x14ac:dyDescent="0.2">
      <c r="B20" t="s">
        <v>69</v>
      </c>
      <c r="C20" s="4">
        <v>1</v>
      </c>
      <c r="D20" s="4" t="s">
        <v>18</v>
      </c>
      <c r="E20" s="90"/>
      <c r="F20" s="102">
        <v>25.363125</v>
      </c>
      <c r="G20" s="2"/>
    </row>
    <row r="21" spans="2:7" x14ac:dyDescent="0.2">
      <c r="B21" t="s">
        <v>17</v>
      </c>
      <c r="C21" s="99">
        <v>6</v>
      </c>
      <c r="D21" s="5" t="s">
        <v>133</v>
      </c>
      <c r="E21" s="72"/>
      <c r="F21" s="104">
        <v>90.28</v>
      </c>
      <c r="G21" s="2"/>
    </row>
    <row r="22" spans="2:7" x14ac:dyDescent="0.2">
      <c r="B22" t="s">
        <v>59</v>
      </c>
      <c r="C22" s="99">
        <v>3</v>
      </c>
      <c r="D22" s="5" t="s">
        <v>133</v>
      </c>
      <c r="E22" s="72"/>
      <c r="F22" s="104">
        <v>182.42500000000001</v>
      </c>
      <c r="G22" s="2"/>
    </row>
    <row r="23" spans="2:7" x14ac:dyDescent="0.2">
      <c r="B23" t="s">
        <v>20</v>
      </c>
      <c r="C23" s="99">
        <v>90</v>
      </c>
      <c r="D23" s="5" t="s">
        <v>21</v>
      </c>
      <c r="E23" s="102">
        <v>0.4</v>
      </c>
      <c r="F23" s="35">
        <f>C23*E23</f>
        <v>36</v>
      </c>
      <c r="G23" s="2"/>
    </row>
    <row r="24" spans="2:7" x14ac:dyDescent="0.2">
      <c r="B24" t="s">
        <v>23</v>
      </c>
      <c r="C24" s="53">
        <v>1</v>
      </c>
      <c r="D24" s="6" t="s">
        <v>18</v>
      </c>
      <c r="E24" s="103">
        <v>70.069999999999993</v>
      </c>
      <c r="F24" s="38">
        <f>C24*E24</f>
        <v>70.069999999999993</v>
      </c>
      <c r="G24" s="2"/>
    </row>
    <row r="25" spans="2:7" x14ac:dyDescent="0.2">
      <c r="B25" s="1" t="s">
        <v>24</v>
      </c>
      <c r="F25" s="39">
        <f>SUM(F15:F24)</f>
        <v>1949.6381249999999</v>
      </c>
    </row>
    <row r="27" spans="2:7" x14ac:dyDescent="0.2">
      <c r="B27" s="1" t="s">
        <v>25</v>
      </c>
    </row>
    <row r="28" spans="2:7" x14ac:dyDescent="0.2">
      <c r="B28" t="s">
        <v>26</v>
      </c>
      <c r="C28" s="4">
        <f>C10</f>
        <v>1300</v>
      </c>
      <c r="D28" s="4" t="s">
        <v>27</v>
      </c>
      <c r="E28" s="102">
        <v>1.1000000000000001</v>
      </c>
      <c r="F28" s="35">
        <f>C28*E28</f>
        <v>1430.0000000000002</v>
      </c>
    </row>
    <row r="29" spans="2:7" x14ac:dyDescent="0.2">
      <c r="B29" t="s">
        <v>62</v>
      </c>
      <c r="C29" s="99">
        <v>18</v>
      </c>
      <c r="D29" s="4" t="s">
        <v>21</v>
      </c>
      <c r="E29" s="102">
        <v>9</v>
      </c>
      <c r="F29" s="35">
        <f>C29*E29</f>
        <v>162</v>
      </c>
    </row>
    <row r="30" spans="2:7" x14ac:dyDescent="0.2">
      <c r="B30" t="s">
        <v>63</v>
      </c>
      <c r="C30" s="4">
        <v>1</v>
      </c>
      <c r="D30" s="4" t="s">
        <v>64</v>
      </c>
      <c r="E30" s="102">
        <v>10</v>
      </c>
      <c r="F30" s="35">
        <f>C30*E30</f>
        <v>10</v>
      </c>
    </row>
    <row r="31" spans="2:7" x14ac:dyDescent="0.2">
      <c r="B31" t="s">
        <v>28</v>
      </c>
      <c r="E31" s="72"/>
    </row>
    <row r="32" spans="2:7" x14ac:dyDescent="0.2">
      <c r="B32" t="s">
        <v>65</v>
      </c>
      <c r="C32" s="108">
        <v>140</v>
      </c>
      <c r="D32" s="4" t="s">
        <v>21</v>
      </c>
      <c r="E32" s="102">
        <v>9</v>
      </c>
      <c r="F32" s="35">
        <f>C32*E32</f>
        <v>1260</v>
      </c>
      <c r="G32" s="2"/>
    </row>
    <row r="33" spans="2:7" x14ac:dyDescent="0.2">
      <c r="B33" t="s">
        <v>67</v>
      </c>
      <c r="C33" s="95">
        <v>0.1</v>
      </c>
      <c r="D33" s="4" t="s">
        <v>32</v>
      </c>
      <c r="E33" s="72"/>
      <c r="F33" s="35">
        <f>C33*F10</f>
        <v>1137.5</v>
      </c>
    </row>
    <row r="34" spans="2:7" x14ac:dyDescent="0.2">
      <c r="B34" t="s">
        <v>68</v>
      </c>
      <c r="C34" s="99">
        <v>10</v>
      </c>
      <c r="D34" s="4" t="s">
        <v>21</v>
      </c>
      <c r="E34" s="102">
        <v>9</v>
      </c>
      <c r="F34" s="35">
        <f>C34*E34</f>
        <v>90</v>
      </c>
    </row>
    <row r="35" spans="2:7" x14ac:dyDescent="0.2">
      <c r="B35" t="s">
        <v>35</v>
      </c>
      <c r="C35" s="6">
        <f>C28</f>
        <v>1300</v>
      </c>
      <c r="D35" s="6" t="s">
        <v>27</v>
      </c>
      <c r="E35" s="103">
        <v>0.09</v>
      </c>
      <c r="F35" s="38">
        <f>C35*E35</f>
        <v>117</v>
      </c>
      <c r="G35" s="2"/>
    </row>
    <row r="36" spans="2:7" x14ac:dyDescent="0.2">
      <c r="B36" s="1" t="s">
        <v>36</v>
      </c>
      <c r="F36" s="39">
        <f>SUM(F28:F35)</f>
        <v>4206.5</v>
      </c>
    </row>
    <row r="38" spans="2:7" x14ac:dyDescent="0.2">
      <c r="B38" s="3" t="s">
        <v>175</v>
      </c>
      <c r="F38" s="36">
        <f>(0.05*0.5*F25)+(0.05*0.25*F36)</f>
        <v>101.32220312500002</v>
      </c>
    </row>
    <row r="40" spans="2:7" x14ac:dyDescent="0.2">
      <c r="B40" s="1" t="s">
        <v>37</v>
      </c>
      <c r="C40" s="18"/>
      <c r="D40" s="18"/>
      <c r="E40" s="39"/>
      <c r="F40" s="39">
        <f>SUM(F25+F36+F38)</f>
        <v>6257.4603281249993</v>
      </c>
    </row>
    <row r="41" spans="2:7" ht="12.75" customHeight="1" x14ac:dyDescent="0.2"/>
    <row r="42" spans="2:7" x14ac:dyDescent="0.2">
      <c r="B42" s="13" t="s">
        <v>38</v>
      </c>
      <c r="C42" s="14"/>
      <c r="D42" s="14"/>
      <c r="E42" s="55"/>
      <c r="F42" s="31">
        <f>F10-F40</f>
        <v>5117.5396718750007</v>
      </c>
    </row>
    <row r="44" spans="2:7" ht="12.75" customHeight="1" x14ac:dyDescent="0.2">
      <c r="B44" s="23"/>
      <c r="C44" s="24"/>
      <c r="D44" s="24"/>
      <c r="E44" s="46"/>
      <c r="F44" s="46"/>
    </row>
    <row r="45" spans="2:7" x14ac:dyDescent="0.2">
      <c r="B45" s="1" t="s">
        <v>39</v>
      </c>
    </row>
    <row r="46" spans="2:7" x14ac:dyDescent="0.2">
      <c r="B46" t="s">
        <v>40</v>
      </c>
      <c r="F46" s="37">
        <v>161.69999999999999</v>
      </c>
      <c r="G46" s="2"/>
    </row>
    <row r="47" spans="2:7" x14ac:dyDescent="0.2">
      <c r="B47" t="s">
        <v>41</v>
      </c>
      <c r="F47" s="37">
        <v>189.57</v>
      </c>
    </row>
    <row r="48" spans="2:7" x14ac:dyDescent="0.2">
      <c r="B48" t="s">
        <v>42</v>
      </c>
      <c r="F48" s="37">
        <v>5</v>
      </c>
    </row>
    <row r="49" spans="2:6" x14ac:dyDescent="0.2">
      <c r="B49" t="s">
        <v>43</v>
      </c>
      <c r="C49" s="6"/>
      <c r="D49" s="6"/>
      <c r="E49" s="56"/>
      <c r="F49" s="54">
        <f>0.005*F10</f>
        <v>56.875</v>
      </c>
    </row>
    <row r="50" spans="2:6" x14ac:dyDescent="0.2">
      <c r="B50" s="1" t="s">
        <v>44</v>
      </c>
      <c r="F50" s="44">
        <f>SUM(F46:F49)</f>
        <v>413.14499999999998</v>
      </c>
    </row>
    <row r="52" spans="2:6" x14ac:dyDescent="0.2">
      <c r="B52" s="1" t="s">
        <v>45</v>
      </c>
      <c r="F52" s="39">
        <f>F40+F50</f>
        <v>6670.6053281249988</v>
      </c>
    </row>
    <row r="54" spans="2:6" s="1" customFormat="1" x14ac:dyDescent="0.2">
      <c r="B54" s="13" t="s">
        <v>46</v>
      </c>
      <c r="C54" s="16"/>
      <c r="D54" s="16"/>
      <c r="E54" s="31"/>
      <c r="F54" s="31">
        <f>F10-F52</f>
        <v>4704.3946718750012</v>
      </c>
    </row>
    <row r="56" spans="2:6" x14ac:dyDescent="0.2">
      <c r="B56" t="s">
        <v>47</v>
      </c>
      <c r="C56" s="99">
        <v>40</v>
      </c>
      <c r="D56" s="5" t="s">
        <v>21</v>
      </c>
      <c r="E56" s="102">
        <v>15</v>
      </c>
      <c r="F56" s="35">
        <f>C56*E56</f>
        <v>600</v>
      </c>
    </row>
    <row r="58" spans="2:6" x14ac:dyDescent="0.2">
      <c r="B58" s="13" t="s">
        <v>48</v>
      </c>
      <c r="C58" s="14"/>
      <c r="D58" s="14"/>
      <c r="E58" s="55"/>
      <c r="F58" s="31">
        <f>F54-F56</f>
        <v>4104.3946718750012</v>
      </c>
    </row>
    <row r="60" spans="2:6" ht="12.75" customHeight="1" x14ac:dyDescent="0.2">
      <c r="B60" s="23"/>
      <c r="C60" s="24"/>
      <c r="D60" s="24"/>
      <c r="E60" s="46"/>
      <c r="F60" s="46"/>
    </row>
    <row r="61" spans="2:6" x14ac:dyDescent="0.2">
      <c r="B61" s="2"/>
    </row>
    <row r="62" spans="2:6" x14ac:dyDescent="0.2">
      <c r="B62" s="175" t="s">
        <v>132</v>
      </c>
      <c r="C62" s="175"/>
      <c r="D62" s="175"/>
      <c r="E62" s="175"/>
      <c r="F62" s="175"/>
    </row>
    <row r="63" spans="2:6" x14ac:dyDescent="0.2">
      <c r="B63" s="2"/>
    </row>
    <row r="64" spans="2:6" x14ac:dyDescent="0.2">
      <c r="B64" s="2"/>
    </row>
    <row r="65" spans="2:2" x14ac:dyDescent="0.2">
      <c r="B65" s="2"/>
    </row>
    <row r="66" spans="2:2" x14ac:dyDescent="0.2">
      <c r="B66" s="2"/>
    </row>
  </sheetData>
  <sheetProtection password="CF0F" sheet="1" objects="1" scenarios="1"/>
  <mergeCells count="2">
    <mergeCell ref="B62:F62"/>
    <mergeCell ref="E4:F6"/>
  </mergeCells>
  <hyperlinks>
    <hyperlink ref="E4:F6" location="Contents" display="Return to Table of Contents"/>
  </hyperlinks>
  <pageMargins left="0.75" right="0.75" top="1" bottom="1" header="0.5" footer="0.5"/>
  <pageSetup scale="8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G60"/>
  <sheetViews>
    <sheetView showGridLines="0" workbookViewId="0">
      <selection activeCell="B2" sqref="B2"/>
    </sheetView>
  </sheetViews>
  <sheetFormatPr defaultRowHeight="12.75" x14ac:dyDescent="0.2"/>
  <cols>
    <col min="1" max="1" width="3.7109375" customWidth="1"/>
    <col min="2" max="2" width="48.28515625" customWidth="1"/>
    <col min="3" max="5" width="10.28515625" style="36" customWidth="1"/>
    <col min="6" max="6" width="11.28515625" style="36" customWidth="1"/>
  </cols>
  <sheetData>
    <row r="2" spans="2:7" x14ac:dyDescent="0.2">
      <c r="B2" s="1" t="s">
        <v>152</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31" t="s">
        <v>0</v>
      </c>
      <c r="D8" s="31" t="s">
        <v>1</v>
      </c>
      <c r="E8" s="31" t="s">
        <v>2</v>
      </c>
      <c r="F8" s="31" t="s">
        <v>3</v>
      </c>
    </row>
    <row r="9" spans="2:7" x14ac:dyDescent="0.2">
      <c r="B9" s="1" t="s">
        <v>4</v>
      </c>
    </row>
    <row r="10" spans="2:7" x14ac:dyDescent="0.2">
      <c r="B10" t="s">
        <v>91</v>
      </c>
      <c r="C10" s="115">
        <v>275</v>
      </c>
      <c r="D10" s="36" t="s">
        <v>55</v>
      </c>
      <c r="E10" s="102">
        <v>9.5</v>
      </c>
      <c r="F10" s="57">
        <f>C10*E10</f>
        <v>2612.5</v>
      </c>
      <c r="G10" s="2"/>
    </row>
    <row r="11" spans="2:7" x14ac:dyDescent="0.2">
      <c r="E11" s="73"/>
    </row>
    <row r="12" spans="2:7" x14ac:dyDescent="0.2">
      <c r="B12" s="23"/>
      <c r="C12" s="46"/>
      <c r="D12" s="46"/>
      <c r="E12" s="82"/>
      <c r="F12" s="46"/>
    </row>
    <row r="13" spans="2:7" x14ac:dyDescent="0.2">
      <c r="B13" s="1" t="s">
        <v>7</v>
      </c>
      <c r="E13" s="73"/>
    </row>
    <row r="14" spans="2:7" x14ac:dyDescent="0.2">
      <c r="B14" s="1" t="s">
        <v>131</v>
      </c>
      <c r="E14" s="73"/>
    </row>
    <row r="15" spans="2:7" x14ac:dyDescent="0.2">
      <c r="B15" t="s">
        <v>9</v>
      </c>
      <c r="C15" s="110">
        <v>0.5</v>
      </c>
      <c r="D15" s="36" t="s">
        <v>10</v>
      </c>
      <c r="E15" s="102">
        <v>20</v>
      </c>
      <c r="F15" s="57">
        <f>C15*E15</f>
        <v>10</v>
      </c>
    </row>
    <row r="16" spans="2:7" x14ac:dyDescent="0.2">
      <c r="B16" t="s">
        <v>92</v>
      </c>
      <c r="C16" s="110">
        <v>1000</v>
      </c>
      <c r="D16" s="36" t="s">
        <v>34</v>
      </c>
      <c r="E16" s="102">
        <v>0.35</v>
      </c>
      <c r="F16" s="57">
        <f>C16*E16</f>
        <v>350</v>
      </c>
    </row>
    <row r="17" spans="2:7" x14ac:dyDescent="0.2">
      <c r="B17" t="s">
        <v>93</v>
      </c>
      <c r="C17" s="110">
        <v>200</v>
      </c>
      <c r="D17" s="36" t="s">
        <v>34</v>
      </c>
      <c r="E17" s="102">
        <v>0.5</v>
      </c>
      <c r="F17" s="57">
        <f>C17*E17</f>
        <v>100</v>
      </c>
    </row>
    <row r="18" spans="2:7" x14ac:dyDescent="0.2">
      <c r="B18" t="s">
        <v>53</v>
      </c>
      <c r="C18" s="110">
        <v>15</v>
      </c>
      <c r="D18" s="36" t="s">
        <v>55</v>
      </c>
      <c r="E18" s="102">
        <v>18</v>
      </c>
      <c r="F18" s="57">
        <f>C18*E18</f>
        <v>270</v>
      </c>
    </row>
    <row r="19" spans="2:7" x14ac:dyDescent="0.2">
      <c r="B19" t="s">
        <v>94</v>
      </c>
      <c r="C19" s="110">
        <v>15</v>
      </c>
      <c r="D19" s="36" t="s">
        <v>55</v>
      </c>
      <c r="E19" s="102">
        <v>2.5</v>
      </c>
      <c r="F19" s="57">
        <f>C19*E19</f>
        <v>37.5</v>
      </c>
    </row>
    <row r="20" spans="2:7" x14ac:dyDescent="0.2">
      <c r="B20" t="s">
        <v>69</v>
      </c>
      <c r="C20" s="61">
        <v>1</v>
      </c>
      <c r="D20" s="36" t="s">
        <v>18</v>
      </c>
      <c r="E20" s="72"/>
      <c r="F20" s="102">
        <v>27</v>
      </c>
      <c r="G20" s="2"/>
    </row>
    <row r="21" spans="2:7" x14ac:dyDescent="0.2">
      <c r="B21" t="s">
        <v>17</v>
      </c>
      <c r="C21" s="61">
        <v>1</v>
      </c>
      <c r="D21" s="36" t="s">
        <v>18</v>
      </c>
      <c r="E21" s="72"/>
      <c r="F21" s="104">
        <v>123.23</v>
      </c>
      <c r="G21" s="2"/>
    </row>
    <row r="22" spans="2:7" x14ac:dyDescent="0.2">
      <c r="B22" t="s">
        <v>59</v>
      </c>
      <c r="C22" s="61">
        <v>1</v>
      </c>
      <c r="D22" s="36" t="s">
        <v>18</v>
      </c>
      <c r="E22" s="72"/>
      <c r="F22" s="104">
        <v>91.8</v>
      </c>
      <c r="G22" s="2"/>
    </row>
    <row r="23" spans="2:7" x14ac:dyDescent="0.2">
      <c r="B23" t="s">
        <v>20</v>
      </c>
      <c r="C23" s="110">
        <v>8</v>
      </c>
      <c r="D23" s="52" t="s">
        <v>21</v>
      </c>
      <c r="E23" s="102">
        <v>7.5</v>
      </c>
      <c r="F23" s="57">
        <f>C23*E23</f>
        <v>60</v>
      </c>
      <c r="G23" s="2"/>
    </row>
    <row r="24" spans="2:7" x14ac:dyDescent="0.2">
      <c r="B24" t="s">
        <v>23</v>
      </c>
      <c r="C24" s="93">
        <v>1</v>
      </c>
      <c r="D24" s="56" t="s">
        <v>18</v>
      </c>
      <c r="E24" s="103">
        <f>71.48</f>
        <v>71.48</v>
      </c>
      <c r="F24" s="58">
        <f>C24*E24</f>
        <v>71.48</v>
      </c>
      <c r="G24" s="2"/>
    </row>
    <row r="25" spans="2:7" x14ac:dyDescent="0.2">
      <c r="B25" s="1" t="s">
        <v>24</v>
      </c>
      <c r="F25" s="39">
        <f>SUM(F15:F24)</f>
        <v>1141.01</v>
      </c>
    </row>
    <row r="27" spans="2:7" x14ac:dyDescent="0.2">
      <c r="B27" s="1" t="s">
        <v>25</v>
      </c>
    </row>
    <row r="28" spans="2:7" x14ac:dyDescent="0.2">
      <c r="B28" t="s">
        <v>95</v>
      </c>
      <c r="C28" s="94">
        <v>1</v>
      </c>
      <c r="D28" s="36" t="s">
        <v>18</v>
      </c>
      <c r="F28" s="57">
        <f>28.27</f>
        <v>28.27</v>
      </c>
    </row>
    <row r="29" spans="2:7" x14ac:dyDescent="0.2">
      <c r="B29" t="s">
        <v>96</v>
      </c>
      <c r="C29" s="108">
        <v>1000</v>
      </c>
      <c r="D29" s="36" t="s">
        <v>97</v>
      </c>
      <c r="E29" s="102">
        <v>0.18</v>
      </c>
      <c r="F29" s="57">
        <f>C29*E29</f>
        <v>180</v>
      </c>
      <c r="G29" s="2"/>
    </row>
    <row r="30" spans="2:7" x14ac:dyDescent="0.2">
      <c r="B30" t="s">
        <v>98</v>
      </c>
      <c r="C30" s="108">
        <v>50</v>
      </c>
      <c r="D30" s="52" t="s">
        <v>21</v>
      </c>
      <c r="E30" s="102">
        <v>9</v>
      </c>
      <c r="F30" s="57">
        <f>C30*E30</f>
        <v>450</v>
      </c>
      <c r="G30" s="2"/>
    </row>
    <row r="31" spans="2:7" x14ac:dyDescent="0.2">
      <c r="B31" t="s">
        <v>99</v>
      </c>
      <c r="C31" s="108">
        <v>3</v>
      </c>
      <c r="D31" s="52" t="s">
        <v>21</v>
      </c>
      <c r="E31" s="102">
        <v>9</v>
      </c>
      <c r="F31" s="57">
        <f>E31*C31</f>
        <v>27</v>
      </c>
      <c r="G31" s="2"/>
    </row>
    <row r="32" spans="2:7" x14ac:dyDescent="0.2">
      <c r="B32" t="s">
        <v>100</v>
      </c>
      <c r="C32" s="108">
        <v>20</v>
      </c>
      <c r="D32" s="52" t="s">
        <v>21</v>
      </c>
      <c r="E32" s="102">
        <v>9</v>
      </c>
      <c r="F32" s="57">
        <f>E32*C32</f>
        <v>180</v>
      </c>
      <c r="G32" s="2"/>
    </row>
    <row r="33" spans="2:7" x14ac:dyDescent="0.2">
      <c r="B33" t="s">
        <v>31</v>
      </c>
      <c r="C33" s="96">
        <v>0.1</v>
      </c>
      <c r="D33" s="56" t="s">
        <v>32</v>
      </c>
      <c r="E33" s="58"/>
      <c r="F33" s="58">
        <f>C33*F10</f>
        <v>261.25</v>
      </c>
    </row>
    <row r="34" spans="2:7" x14ac:dyDescent="0.2">
      <c r="B34" s="1" t="s">
        <v>36</v>
      </c>
      <c r="F34" s="39">
        <f>SUM(F28:F33)</f>
        <v>1126.52</v>
      </c>
    </row>
    <row r="36" spans="2:7" x14ac:dyDescent="0.2">
      <c r="B36" s="3" t="s">
        <v>175</v>
      </c>
      <c r="F36" s="36">
        <f>(0.05*0.5*F25)+(0.05*0.25*F34)</f>
        <v>42.606749999999998</v>
      </c>
    </row>
    <row r="38" spans="2:7" x14ac:dyDescent="0.2">
      <c r="B38" s="1" t="s">
        <v>37</v>
      </c>
      <c r="C38" s="39"/>
      <c r="D38" s="39"/>
      <c r="E38" s="39"/>
      <c r="F38" s="39">
        <f>SUM(F25+F34+F36)</f>
        <v>2310.1367499999997</v>
      </c>
    </row>
    <row r="40" spans="2:7" x14ac:dyDescent="0.2">
      <c r="B40" s="13" t="s">
        <v>38</v>
      </c>
      <c r="C40" s="55"/>
      <c r="D40" s="55"/>
      <c r="E40" s="55"/>
      <c r="F40" s="31">
        <f>F10-F38</f>
        <v>302.36325000000033</v>
      </c>
    </row>
    <row r="42" spans="2:7" x14ac:dyDescent="0.2">
      <c r="B42" s="23"/>
      <c r="C42" s="46"/>
      <c r="D42" s="46"/>
      <c r="E42" s="46"/>
      <c r="F42" s="46"/>
    </row>
    <row r="43" spans="2:7" x14ac:dyDescent="0.2">
      <c r="B43" s="1" t="s">
        <v>39</v>
      </c>
    </row>
    <row r="44" spans="2:7" x14ac:dyDescent="0.2">
      <c r="B44" t="s">
        <v>40</v>
      </c>
      <c r="F44" s="37">
        <f>100.19</f>
        <v>100.19</v>
      </c>
      <c r="G44" s="2"/>
    </row>
    <row r="45" spans="2:7" x14ac:dyDescent="0.2">
      <c r="B45" t="s">
        <v>41</v>
      </c>
      <c r="F45" s="37">
        <v>300</v>
      </c>
      <c r="G45" s="2"/>
    </row>
    <row r="46" spans="2:7" x14ac:dyDescent="0.2">
      <c r="B46" t="s">
        <v>42</v>
      </c>
      <c r="F46" s="37">
        <v>5</v>
      </c>
    </row>
    <row r="47" spans="2:7" x14ac:dyDescent="0.2">
      <c r="B47" t="s">
        <v>43</v>
      </c>
      <c r="C47" s="56"/>
      <c r="D47" s="56"/>
      <c r="E47" s="56"/>
      <c r="F47" s="54">
        <f>0.005*F10</f>
        <v>13.0625</v>
      </c>
    </row>
    <row r="48" spans="2:7" x14ac:dyDescent="0.2">
      <c r="B48" s="1" t="s">
        <v>44</v>
      </c>
      <c r="F48" s="44">
        <f>SUM(F44:F47)</f>
        <v>418.2525</v>
      </c>
    </row>
    <row r="50" spans="2:6" x14ac:dyDescent="0.2">
      <c r="B50" s="1" t="s">
        <v>45</v>
      </c>
      <c r="F50" s="39">
        <f>F38+F48</f>
        <v>2728.3892499999997</v>
      </c>
    </row>
    <row r="52" spans="2:6" x14ac:dyDescent="0.2">
      <c r="B52" s="13" t="s">
        <v>46</v>
      </c>
      <c r="C52" s="31"/>
      <c r="D52" s="31"/>
      <c r="E52" s="31"/>
      <c r="F52" s="31">
        <f>F10-F50</f>
        <v>-115.88924999999972</v>
      </c>
    </row>
    <row r="54" spans="2:6" x14ac:dyDescent="0.2">
      <c r="B54" t="s">
        <v>47</v>
      </c>
      <c r="C54" s="110">
        <v>20</v>
      </c>
      <c r="D54" s="52" t="s">
        <v>21</v>
      </c>
      <c r="E54" s="102">
        <v>15</v>
      </c>
      <c r="F54" s="57">
        <f>C54*E54</f>
        <v>300</v>
      </c>
    </row>
    <row r="56" spans="2:6" x14ac:dyDescent="0.2">
      <c r="B56" s="13" t="s">
        <v>48</v>
      </c>
      <c r="C56" s="55"/>
      <c r="D56" s="55"/>
      <c r="E56" s="55"/>
      <c r="F56" s="31">
        <f>F52-F54</f>
        <v>-415.88924999999972</v>
      </c>
    </row>
    <row r="58" spans="2:6" x14ac:dyDescent="0.2">
      <c r="B58" s="23"/>
      <c r="C58" s="46"/>
      <c r="D58" s="46"/>
      <c r="E58" s="46"/>
      <c r="F58" s="46"/>
    </row>
    <row r="59" spans="2:6" s="59" customFormat="1" x14ac:dyDescent="0.2">
      <c r="C59" s="60"/>
      <c r="D59" s="60"/>
      <c r="E59" s="60"/>
      <c r="F59" s="60"/>
    </row>
    <row r="60" spans="2:6" x14ac:dyDescent="0.2">
      <c r="B60" s="175" t="s">
        <v>132</v>
      </c>
      <c r="C60" s="175"/>
      <c r="D60" s="175"/>
      <c r="E60" s="175"/>
      <c r="F60" s="175"/>
    </row>
  </sheetData>
  <sheetProtection password="CF0F" sheet="1" objects="1" scenarios="1"/>
  <mergeCells count="2">
    <mergeCell ref="B60:F60"/>
    <mergeCell ref="E4:F6"/>
  </mergeCells>
  <hyperlinks>
    <hyperlink ref="E4:F6" location="Contents" display="Return to Table of Contents"/>
  </hyperlinks>
  <pageMargins left="0.75" right="0.75" top="1" bottom="1" header="0.5" footer="0.5"/>
  <pageSetup scale="83"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G58"/>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153</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1" t="s">
        <v>2</v>
      </c>
      <c r="F8" s="31" t="s">
        <v>3</v>
      </c>
    </row>
    <row r="9" spans="2:7" x14ac:dyDescent="0.2">
      <c r="B9" s="1" t="s">
        <v>4</v>
      </c>
    </row>
    <row r="10" spans="2:7" x14ac:dyDescent="0.2">
      <c r="B10" t="s">
        <v>101</v>
      </c>
      <c r="C10" s="111">
        <v>22000</v>
      </c>
      <c r="D10" s="4" t="s">
        <v>12</v>
      </c>
      <c r="E10" s="102">
        <v>0.1</v>
      </c>
      <c r="F10" s="35">
        <f>C10*E10</f>
        <v>2200</v>
      </c>
      <c r="G10" s="2"/>
    </row>
    <row r="11" spans="2:7" x14ac:dyDescent="0.2">
      <c r="C11" s="83"/>
      <c r="E11" s="73"/>
    </row>
    <row r="12" spans="2:7" ht="12.75" customHeight="1" x14ac:dyDescent="0.2">
      <c r="B12" s="23"/>
      <c r="C12" s="91"/>
      <c r="D12" s="24"/>
      <c r="E12" s="82"/>
      <c r="F12" s="46"/>
    </row>
    <row r="13" spans="2:7" x14ac:dyDescent="0.2">
      <c r="B13" s="1" t="s">
        <v>7</v>
      </c>
      <c r="C13" s="83"/>
      <c r="E13" s="73"/>
    </row>
    <row r="14" spans="2:7" x14ac:dyDescent="0.2">
      <c r="B14" s="1" t="s">
        <v>131</v>
      </c>
      <c r="C14" s="83"/>
      <c r="E14" s="73"/>
    </row>
    <row r="15" spans="2:7" x14ac:dyDescent="0.2">
      <c r="B15" t="s">
        <v>53</v>
      </c>
      <c r="C15" s="99">
        <v>2</v>
      </c>
      <c r="D15" s="4" t="s">
        <v>12</v>
      </c>
      <c r="E15" s="102">
        <v>50</v>
      </c>
      <c r="F15" s="35">
        <f t="shared" ref="F15:F22" si="0">C15*E15</f>
        <v>100</v>
      </c>
    </row>
    <row r="16" spans="2:7" x14ac:dyDescent="0.2">
      <c r="B16" t="s">
        <v>9</v>
      </c>
      <c r="C16" s="99">
        <v>0.5</v>
      </c>
      <c r="D16" s="4" t="s">
        <v>10</v>
      </c>
      <c r="E16" s="102">
        <v>20</v>
      </c>
      <c r="F16" s="35">
        <f t="shared" si="0"/>
        <v>10</v>
      </c>
    </row>
    <row r="17" spans="2:7" x14ac:dyDescent="0.2">
      <c r="B17" t="s">
        <v>75</v>
      </c>
      <c r="C17" s="4">
        <v>1</v>
      </c>
      <c r="D17" s="4" t="s">
        <v>18</v>
      </c>
      <c r="E17" s="102">
        <v>120</v>
      </c>
      <c r="F17" s="35">
        <f t="shared" si="0"/>
        <v>120</v>
      </c>
    </row>
    <row r="18" spans="2:7" x14ac:dyDescent="0.2">
      <c r="B18" t="s">
        <v>69</v>
      </c>
      <c r="C18" s="4">
        <v>1</v>
      </c>
      <c r="D18" s="4" t="s">
        <v>18</v>
      </c>
      <c r="E18" s="102">
        <v>42.24</v>
      </c>
      <c r="F18" s="35">
        <f t="shared" si="0"/>
        <v>42.24</v>
      </c>
      <c r="G18" s="2"/>
    </row>
    <row r="19" spans="2:7" x14ac:dyDescent="0.2">
      <c r="B19" t="s">
        <v>17</v>
      </c>
      <c r="C19" s="4">
        <v>1</v>
      </c>
      <c r="D19" s="4" t="s">
        <v>18</v>
      </c>
      <c r="E19" s="102">
        <v>111.66</v>
      </c>
      <c r="F19" s="35">
        <f t="shared" si="0"/>
        <v>111.66</v>
      </c>
      <c r="G19" s="2"/>
    </row>
    <row r="20" spans="2:7" x14ac:dyDescent="0.2">
      <c r="B20" t="s">
        <v>59</v>
      </c>
      <c r="C20" s="4">
        <v>1</v>
      </c>
      <c r="D20" s="4" t="s">
        <v>18</v>
      </c>
      <c r="E20" s="102">
        <v>182</v>
      </c>
      <c r="F20" s="35">
        <f t="shared" si="0"/>
        <v>182</v>
      </c>
      <c r="G20" s="2"/>
    </row>
    <row r="21" spans="2:7" x14ac:dyDescent="0.2">
      <c r="B21" t="s">
        <v>60</v>
      </c>
      <c r="C21" s="99">
        <v>1</v>
      </c>
      <c r="D21" s="4" t="s">
        <v>61</v>
      </c>
      <c r="E21" s="102">
        <v>75</v>
      </c>
      <c r="F21" s="35">
        <f t="shared" si="0"/>
        <v>75</v>
      </c>
    </row>
    <row r="22" spans="2:7" x14ac:dyDescent="0.2">
      <c r="B22" t="s">
        <v>23</v>
      </c>
      <c r="C22" s="53">
        <v>1</v>
      </c>
      <c r="D22" s="6" t="s">
        <v>18</v>
      </c>
      <c r="E22" s="103">
        <v>70.069999999999993</v>
      </c>
      <c r="F22" s="38">
        <f t="shared" si="0"/>
        <v>70.069999999999993</v>
      </c>
      <c r="G22" s="2"/>
    </row>
    <row r="23" spans="2:7" x14ac:dyDescent="0.2">
      <c r="B23" s="1" t="s">
        <v>24</v>
      </c>
      <c r="F23" s="39">
        <f>SUM(F15:F22)</f>
        <v>710.97</v>
      </c>
      <c r="G23" s="2"/>
    </row>
    <row r="25" spans="2:7" x14ac:dyDescent="0.2">
      <c r="B25" s="1" t="s">
        <v>25</v>
      </c>
    </row>
    <row r="26" spans="2:7" x14ac:dyDescent="0.2">
      <c r="B26" t="s">
        <v>28</v>
      </c>
      <c r="E26" s="35"/>
    </row>
    <row r="27" spans="2:7" x14ac:dyDescent="0.2">
      <c r="B27" t="s">
        <v>102</v>
      </c>
      <c r="C27" s="108">
        <v>70</v>
      </c>
      <c r="D27" s="5" t="s">
        <v>21</v>
      </c>
      <c r="E27" s="102">
        <v>9</v>
      </c>
      <c r="F27" s="35">
        <f>C27*E27</f>
        <v>630</v>
      </c>
    </row>
    <row r="28" spans="2:7" x14ac:dyDescent="0.2">
      <c r="B28" t="s">
        <v>31</v>
      </c>
      <c r="C28" s="95">
        <v>0.1</v>
      </c>
      <c r="D28" s="4" t="s">
        <v>32</v>
      </c>
      <c r="E28" s="72"/>
      <c r="F28" s="35">
        <f>C28*F10</f>
        <v>220</v>
      </c>
      <c r="G28" s="2"/>
    </row>
    <row r="29" spans="2:7" x14ac:dyDescent="0.2">
      <c r="B29" t="s">
        <v>35</v>
      </c>
      <c r="C29" s="6">
        <f>C10/100</f>
        <v>220</v>
      </c>
      <c r="D29" s="6" t="s">
        <v>55</v>
      </c>
      <c r="E29" s="103">
        <v>0.2</v>
      </c>
      <c r="F29" s="38">
        <f>C29*E29</f>
        <v>44</v>
      </c>
    </row>
    <row r="30" spans="2:7" x14ac:dyDescent="0.2">
      <c r="B30" s="1" t="s">
        <v>36</v>
      </c>
      <c r="F30" s="39">
        <f>SUM(F26:F29)</f>
        <v>894</v>
      </c>
    </row>
    <row r="32" spans="2:7" x14ac:dyDescent="0.2">
      <c r="B32" s="3" t="s">
        <v>175</v>
      </c>
      <c r="F32" s="36">
        <f>(0.05*0.5*F23)+(0.05*0.25*F30)</f>
        <v>28.949250000000003</v>
      </c>
    </row>
    <row r="34" spans="2:6" x14ac:dyDescent="0.2">
      <c r="B34" s="1" t="s">
        <v>37</v>
      </c>
      <c r="C34" s="18"/>
      <c r="D34" s="18"/>
      <c r="E34" s="39"/>
      <c r="F34" s="39">
        <f>SUM(F23+F30+F32)</f>
        <v>1633.9192499999999</v>
      </c>
    </row>
    <row r="36" spans="2:6" x14ac:dyDescent="0.2">
      <c r="B36" s="13" t="s">
        <v>38</v>
      </c>
      <c r="C36" s="14"/>
      <c r="D36" s="14"/>
      <c r="E36" s="55"/>
      <c r="F36" s="31">
        <f>F10-F34</f>
        <v>566.08075000000008</v>
      </c>
    </row>
    <row r="38" spans="2:6" ht="12.75" customHeight="1" x14ac:dyDescent="0.2">
      <c r="B38" s="23"/>
      <c r="C38" s="24"/>
      <c r="D38" s="24"/>
      <c r="E38" s="46"/>
      <c r="F38" s="46"/>
    </row>
    <row r="39" spans="2:6" x14ac:dyDescent="0.2">
      <c r="B39" s="1" t="s">
        <v>39</v>
      </c>
    </row>
    <row r="40" spans="2:6" x14ac:dyDescent="0.2">
      <c r="B40" t="s">
        <v>40</v>
      </c>
      <c r="F40" s="37">
        <f>70.7</f>
        <v>70.7</v>
      </c>
    </row>
    <row r="41" spans="2:6" x14ac:dyDescent="0.2">
      <c r="B41" t="s">
        <v>42</v>
      </c>
      <c r="F41" s="37">
        <v>5</v>
      </c>
    </row>
    <row r="42" spans="2:6" x14ac:dyDescent="0.2">
      <c r="B42" t="s">
        <v>43</v>
      </c>
      <c r="C42" s="6"/>
      <c r="D42" s="6"/>
      <c r="E42" s="56"/>
      <c r="F42" s="54">
        <f>0.015*F10</f>
        <v>33</v>
      </c>
    </row>
    <row r="43" spans="2:6" x14ac:dyDescent="0.2">
      <c r="B43" s="1" t="s">
        <v>44</v>
      </c>
      <c r="F43" s="44">
        <f>SUM(F40:F42)</f>
        <v>108.7</v>
      </c>
    </row>
    <row r="45" spans="2:6" x14ac:dyDescent="0.2">
      <c r="B45" s="1" t="s">
        <v>45</v>
      </c>
      <c r="F45" s="39">
        <f>F34+F43</f>
        <v>1742.61925</v>
      </c>
    </row>
    <row r="47" spans="2:6" x14ac:dyDescent="0.2">
      <c r="B47" s="13" t="s">
        <v>46</v>
      </c>
      <c r="C47" s="16"/>
      <c r="D47" s="16"/>
      <c r="E47" s="31"/>
      <c r="F47" s="31">
        <f>F10-F45</f>
        <v>457.38075000000003</v>
      </c>
    </row>
    <row r="49" spans="2:6" x14ac:dyDescent="0.2">
      <c r="B49" t="s">
        <v>47</v>
      </c>
      <c r="C49" s="99">
        <v>20</v>
      </c>
      <c r="D49" s="5" t="s">
        <v>21</v>
      </c>
      <c r="E49" s="102">
        <v>15</v>
      </c>
      <c r="F49" s="35">
        <f>C49*E49</f>
        <v>300</v>
      </c>
    </row>
    <row r="51" spans="2:6" x14ac:dyDescent="0.2">
      <c r="B51" s="13" t="s">
        <v>48</v>
      </c>
      <c r="C51" s="14"/>
      <c r="D51" s="14"/>
      <c r="E51" s="55"/>
      <c r="F51" s="31">
        <f>F47-F49</f>
        <v>157.38075000000003</v>
      </c>
    </row>
    <row r="53" spans="2:6" ht="12.75" customHeight="1" x14ac:dyDescent="0.2">
      <c r="B53" s="23"/>
      <c r="C53" s="24"/>
      <c r="D53" s="24"/>
      <c r="E53" s="46"/>
      <c r="F53" s="46"/>
    </row>
    <row r="54" spans="2:6" x14ac:dyDescent="0.2">
      <c r="B54" s="2"/>
    </row>
    <row r="55" spans="2:6" x14ac:dyDescent="0.2">
      <c r="B55" s="175" t="s">
        <v>132</v>
      </c>
      <c r="C55" s="175"/>
      <c r="D55" s="175"/>
      <c r="E55" s="175"/>
      <c r="F55" s="175"/>
    </row>
    <row r="56" spans="2:6" x14ac:dyDescent="0.2">
      <c r="B56" s="2"/>
    </row>
    <row r="57" spans="2:6" x14ac:dyDescent="0.2">
      <c r="B57" s="2"/>
    </row>
    <row r="58" spans="2:6" x14ac:dyDescent="0.2">
      <c r="B58" s="2"/>
    </row>
  </sheetData>
  <sheetProtection password="CF0F" sheet="1" objects="1" scenarios="1"/>
  <mergeCells count="2">
    <mergeCell ref="B55:F55"/>
    <mergeCell ref="E4:F6"/>
  </mergeCells>
  <hyperlinks>
    <hyperlink ref="E4:F6" location="Contents" display="Return to Table of Contents"/>
  </hyperlinks>
  <pageMargins left="0.75" right="0.75" top="1" bottom="1" header="0.5" footer="0.5"/>
  <pageSetup scale="91"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G70"/>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141</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1" t="s">
        <v>2</v>
      </c>
      <c r="F8" s="31" t="s">
        <v>3</v>
      </c>
    </row>
    <row r="9" spans="2:7" x14ac:dyDescent="0.2">
      <c r="B9" s="1" t="s">
        <v>4</v>
      </c>
    </row>
    <row r="10" spans="2:7" x14ac:dyDescent="0.2">
      <c r="B10" t="s">
        <v>103</v>
      </c>
      <c r="C10" s="99">
        <v>1000</v>
      </c>
      <c r="D10" s="4" t="s">
        <v>27</v>
      </c>
      <c r="E10" s="102">
        <v>7.5</v>
      </c>
      <c r="F10" s="35">
        <f>C10*E10</f>
        <v>7500</v>
      </c>
      <c r="G10" s="2"/>
    </row>
    <row r="11" spans="2:7" x14ac:dyDescent="0.2">
      <c r="E11" s="73"/>
    </row>
    <row r="12" spans="2:7" ht="12.75" customHeight="1" x14ac:dyDescent="0.2">
      <c r="B12" s="23"/>
      <c r="C12" s="24"/>
      <c r="D12" s="24"/>
      <c r="E12" s="82"/>
      <c r="F12" s="46"/>
    </row>
    <row r="13" spans="2:7" x14ac:dyDescent="0.2">
      <c r="B13" s="1" t="s">
        <v>7</v>
      </c>
      <c r="E13" s="73"/>
    </row>
    <row r="14" spans="2:7" x14ac:dyDescent="0.2">
      <c r="B14" s="1" t="s">
        <v>131</v>
      </c>
      <c r="E14" s="73"/>
    </row>
    <row r="15" spans="2:7" x14ac:dyDescent="0.2">
      <c r="B15" t="s">
        <v>53</v>
      </c>
      <c r="C15" s="99">
        <v>2</v>
      </c>
      <c r="D15" s="4" t="s">
        <v>12</v>
      </c>
      <c r="E15" s="102">
        <v>60</v>
      </c>
      <c r="F15" s="35">
        <f t="shared" ref="F15:F26" si="0">C15*E15</f>
        <v>120</v>
      </c>
    </row>
    <row r="16" spans="2:7" x14ac:dyDescent="0.2">
      <c r="B16" t="s">
        <v>9</v>
      </c>
      <c r="C16" s="99">
        <v>0.5</v>
      </c>
      <c r="D16" s="4" t="s">
        <v>10</v>
      </c>
      <c r="E16" s="102">
        <v>20</v>
      </c>
      <c r="F16" s="35">
        <f t="shared" si="0"/>
        <v>10</v>
      </c>
    </row>
    <row r="17" spans="2:7" x14ac:dyDescent="0.2">
      <c r="B17" t="s">
        <v>54</v>
      </c>
      <c r="C17" s="99">
        <v>10</v>
      </c>
      <c r="D17" s="4" t="s">
        <v>55</v>
      </c>
      <c r="E17" s="102">
        <v>30</v>
      </c>
      <c r="F17" s="35">
        <f t="shared" si="0"/>
        <v>300</v>
      </c>
    </row>
    <row r="18" spans="2:7" x14ac:dyDescent="0.2">
      <c r="B18" t="s">
        <v>56</v>
      </c>
      <c r="C18" s="99">
        <v>2</v>
      </c>
      <c r="D18" s="4" t="s">
        <v>55</v>
      </c>
      <c r="E18" s="102">
        <v>50</v>
      </c>
      <c r="F18" s="35">
        <f t="shared" si="0"/>
        <v>100</v>
      </c>
    </row>
    <row r="19" spans="2:7" x14ac:dyDescent="0.2">
      <c r="B19" t="s">
        <v>57</v>
      </c>
      <c r="C19" s="4">
        <v>1</v>
      </c>
      <c r="D19" s="4" t="s">
        <v>18</v>
      </c>
      <c r="E19" s="102">
        <v>382</v>
      </c>
      <c r="F19" s="35">
        <f t="shared" si="0"/>
        <v>382</v>
      </c>
      <c r="G19" s="2"/>
    </row>
    <row r="20" spans="2:7" x14ac:dyDescent="0.2">
      <c r="B20" t="s">
        <v>85</v>
      </c>
      <c r="C20" s="4">
        <v>1</v>
      </c>
      <c r="D20" s="4" t="s">
        <v>18</v>
      </c>
      <c r="E20" s="102">
        <v>60</v>
      </c>
      <c r="F20" s="35">
        <f t="shared" si="0"/>
        <v>60</v>
      </c>
      <c r="G20" s="2"/>
    </row>
    <row r="21" spans="2:7" x14ac:dyDescent="0.2">
      <c r="B21" t="s">
        <v>17</v>
      </c>
      <c r="C21" s="4">
        <v>1</v>
      </c>
      <c r="D21" s="4" t="s">
        <v>18</v>
      </c>
      <c r="E21" s="102">
        <v>88.58</v>
      </c>
      <c r="F21" s="35">
        <f t="shared" si="0"/>
        <v>88.58</v>
      </c>
      <c r="G21" s="2"/>
    </row>
    <row r="22" spans="2:7" x14ac:dyDescent="0.2">
      <c r="B22" t="s">
        <v>59</v>
      </c>
      <c r="C22" s="4">
        <v>1</v>
      </c>
      <c r="D22" s="4" t="s">
        <v>18</v>
      </c>
      <c r="E22" s="102">
        <v>128.69999999999999</v>
      </c>
      <c r="F22" s="35">
        <f t="shared" si="0"/>
        <v>128.69999999999999</v>
      </c>
      <c r="G22" s="2"/>
    </row>
    <row r="23" spans="2:7" x14ac:dyDescent="0.2">
      <c r="B23" t="s">
        <v>60</v>
      </c>
      <c r="C23" s="99">
        <v>1</v>
      </c>
      <c r="D23" s="4" t="s">
        <v>61</v>
      </c>
      <c r="E23" s="102">
        <v>75</v>
      </c>
      <c r="F23" s="35">
        <f t="shared" si="0"/>
        <v>75</v>
      </c>
      <c r="G23" s="2"/>
    </row>
    <row r="24" spans="2:7" x14ac:dyDescent="0.2">
      <c r="B24" t="s">
        <v>20</v>
      </c>
      <c r="C24" s="99">
        <v>90</v>
      </c>
      <c r="D24" s="5" t="s">
        <v>21</v>
      </c>
      <c r="E24" s="102">
        <v>0.4</v>
      </c>
      <c r="F24" s="35">
        <f t="shared" si="0"/>
        <v>36</v>
      </c>
    </row>
    <row r="25" spans="2:7" x14ac:dyDescent="0.2">
      <c r="B25" t="s">
        <v>22</v>
      </c>
      <c r="C25" s="99">
        <v>25</v>
      </c>
      <c r="D25" s="5" t="s">
        <v>21</v>
      </c>
      <c r="E25" s="102">
        <v>9</v>
      </c>
      <c r="F25" s="35">
        <f t="shared" si="0"/>
        <v>225</v>
      </c>
    </row>
    <row r="26" spans="2:7" x14ac:dyDescent="0.2">
      <c r="B26" t="s">
        <v>23</v>
      </c>
      <c r="C26" s="53">
        <v>1</v>
      </c>
      <c r="D26" s="6" t="s">
        <v>18</v>
      </c>
      <c r="E26" s="103">
        <f>63.8</f>
        <v>63.8</v>
      </c>
      <c r="F26" s="38">
        <f t="shared" si="0"/>
        <v>63.8</v>
      </c>
      <c r="G26" s="2"/>
    </row>
    <row r="27" spans="2:7" x14ac:dyDescent="0.2">
      <c r="B27" s="1" t="s">
        <v>24</v>
      </c>
      <c r="F27" s="39">
        <f>SUM(F15:F26)</f>
        <v>1589.08</v>
      </c>
      <c r="G27" s="2"/>
    </row>
    <row r="29" spans="2:7" x14ac:dyDescent="0.2">
      <c r="B29" s="1" t="s">
        <v>25</v>
      </c>
    </row>
    <row r="30" spans="2:7" x14ac:dyDescent="0.2">
      <c r="B30" t="s">
        <v>26</v>
      </c>
      <c r="C30" s="4">
        <f>C10</f>
        <v>1000</v>
      </c>
      <c r="D30" s="4" t="s">
        <v>27</v>
      </c>
      <c r="E30" s="102">
        <v>1.1000000000000001</v>
      </c>
      <c r="F30" s="35">
        <f>C30*E30</f>
        <v>1100</v>
      </c>
    </row>
    <row r="31" spans="2:7" x14ac:dyDescent="0.2">
      <c r="B31" t="s">
        <v>62</v>
      </c>
      <c r="C31" s="99">
        <v>18</v>
      </c>
      <c r="D31" s="4" t="s">
        <v>21</v>
      </c>
      <c r="E31" s="102">
        <v>9</v>
      </c>
      <c r="F31" s="35">
        <f>C31*E31</f>
        <v>162</v>
      </c>
    </row>
    <row r="32" spans="2:7" x14ac:dyDescent="0.2">
      <c r="B32" t="s">
        <v>63</v>
      </c>
      <c r="C32" s="4">
        <v>1</v>
      </c>
      <c r="D32" s="4" t="s">
        <v>64</v>
      </c>
      <c r="E32" s="102">
        <v>10</v>
      </c>
      <c r="F32" s="35">
        <f>C32*E32</f>
        <v>10</v>
      </c>
    </row>
    <row r="33" spans="2:7" x14ac:dyDescent="0.2">
      <c r="B33" t="s">
        <v>28</v>
      </c>
      <c r="E33" s="72"/>
    </row>
    <row r="34" spans="2:7" x14ac:dyDescent="0.2">
      <c r="B34" t="s">
        <v>65</v>
      </c>
      <c r="C34" s="109">
        <v>0.8</v>
      </c>
      <c r="D34" s="4" t="s">
        <v>6</v>
      </c>
      <c r="E34" s="72"/>
      <c r="F34" s="35">
        <f>C10*C34</f>
        <v>800</v>
      </c>
      <c r="G34" s="2"/>
    </row>
    <row r="35" spans="2:7" x14ac:dyDescent="0.2">
      <c r="B35" t="s">
        <v>76</v>
      </c>
      <c r="C35" s="109">
        <v>1.25</v>
      </c>
      <c r="D35" s="4" t="s">
        <v>6</v>
      </c>
      <c r="E35" s="72"/>
      <c r="F35" s="35">
        <f>C10*C35</f>
        <v>1250</v>
      </c>
      <c r="G35" s="2"/>
    </row>
    <row r="36" spans="2:7" x14ac:dyDescent="0.2">
      <c r="B36" t="s">
        <v>67</v>
      </c>
      <c r="C36" s="95">
        <v>0.1</v>
      </c>
      <c r="D36" s="4" t="s">
        <v>32</v>
      </c>
      <c r="E36" s="72"/>
      <c r="F36" s="35">
        <f>C36*F10</f>
        <v>750</v>
      </c>
      <c r="G36" s="2"/>
    </row>
    <row r="37" spans="2:7" x14ac:dyDescent="0.2">
      <c r="B37" t="s">
        <v>68</v>
      </c>
      <c r="C37" s="99">
        <v>10</v>
      </c>
      <c r="D37" s="4" t="s">
        <v>21</v>
      </c>
      <c r="E37" s="102">
        <v>9</v>
      </c>
      <c r="F37" s="35">
        <f>C37*E37</f>
        <v>90</v>
      </c>
    </row>
    <row r="38" spans="2:7" x14ac:dyDescent="0.2">
      <c r="B38" t="s">
        <v>35</v>
      </c>
      <c r="C38" s="6">
        <f>C30</f>
        <v>1000</v>
      </c>
      <c r="D38" s="6" t="s">
        <v>27</v>
      </c>
      <c r="E38" s="103">
        <v>0.09</v>
      </c>
      <c r="F38" s="38">
        <f>C38*E38</f>
        <v>90</v>
      </c>
      <c r="G38" s="2"/>
    </row>
    <row r="39" spans="2:7" x14ac:dyDescent="0.2">
      <c r="B39" s="1" t="s">
        <v>36</v>
      </c>
      <c r="F39" s="39">
        <f>SUM(F30:F38)</f>
        <v>4252</v>
      </c>
    </row>
    <row r="41" spans="2:7" x14ac:dyDescent="0.2">
      <c r="B41" s="3" t="s">
        <v>175</v>
      </c>
      <c r="F41" s="36">
        <f>(0.05*0.5*F27)+(0.05*0.25*F39)</f>
        <v>92.87700000000001</v>
      </c>
    </row>
    <row r="43" spans="2:7" x14ac:dyDescent="0.2">
      <c r="B43" s="1" t="s">
        <v>37</v>
      </c>
      <c r="C43" s="18"/>
      <c r="D43" s="18"/>
      <c r="E43" s="39"/>
      <c r="F43" s="39">
        <f>SUM(F27+F39+F41)</f>
        <v>5933.9570000000003</v>
      </c>
    </row>
    <row r="44" spans="2:7" ht="12.75" customHeight="1" x14ac:dyDescent="0.2"/>
    <row r="45" spans="2:7" x14ac:dyDescent="0.2">
      <c r="B45" s="13" t="s">
        <v>38</v>
      </c>
      <c r="C45" s="14"/>
      <c r="D45" s="14"/>
      <c r="E45" s="55"/>
      <c r="F45" s="31">
        <f>F10-F43</f>
        <v>1566.0429999999997</v>
      </c>
    </row>
    <row r="47" spans="2:7" ht="12.75" customHeight="1" x14ac:dyDescent="0.2">
      <c r="B47" s="23"/>
      <c r="C47" s="24"/>
      <c r="D47" s="24"/>
      <c r="E47" s="46"/>
      <c r="F47" s="46"/>
    </row>
    <row r="48" spans="2:7" x14ac:dyDescent="0.2">
      <c r="B48" s="1" t="s">
        <v>39</v>
      </c>
    </row>
    <row r="49" spans="2:7" x14ac:dyDescent="0.2">
      <c r="B49" t="s">
        <v>40</v>
      </c>
      <c r="F49" s="37">
        <f>112.33</f>
        <v>112.33</v>
      </c>
      <c r="G49" s="2"/>
    </row>
    <row r="50" spans="2:7" x14ac:dyDescent="0.2">
      <c r="B50" t="s">
        <v>41</v>
      </c>
      <c r="F50" s="37">
        <f>1327/7</f>
        <v>189.57142857142858</v>
      </c>
    </row>
    <row r="51" spans="2:7" x14ac:dyDescent="0.2">
      <c r="B51" t="s">
        <v>42</v>
      </c>
      <c r="F51" s="37">
        <v>5</v>
      </c>
    </row>
    <row r="52" spans="2:7" x14ac:dyDescent="0.2">
      <c r="B52" t="s">
        <v>43</v>
      </c>
      <c r="C52" s="6"/>
      <c r="D52" s="6"/>
      <c r="E52" s="56"/>
      <c r="F52" s="54">
        <f>0.005*F10</f>
        <v>37.5</v>
      </c>
    </row>
    <row r="53" spans="2:7" x14ac:dyDescent="0.2">
      <c r="B53" s="1" t="s">
        <v>44</v>
      </c>
      <c r="F53" s="44">
        <f>SUM(F49:F52)</f>
        <v>344.4014285714286</v>
      </c>
    </row>
    <row r="55" spans="2:7" x14ac:dyDescent="0.2">
      <c r="B55" s="1" t="s">
        <v>45</v>
      </c>
      <c r="F55" s="39">
        <f>F43+F53</f>
        <v>6278.3584285714287</v>
      </c>
    </row>
    <row r="57" spans="2:7" x14ac:dyDescent="0.2">
      <c r="B57" s="13" t="s">
        <v>46</v>
      </c>
      <c r="C57" s="16"/>
      <c r="D57" s="16"/>
      <c r="E57" s="31"/>
      <c r="F57" s="31">
        <f>F10-F55</f>
        <v>1221.6415714285713</v>
      </c>
    </row>
    <row r="59" spans="2:7" x14ac:dyDescent="0.2">
      <c r="B59" t="s">
        <v>47</v>
      </c>
      <c r="C59" s="99">
        <v>20</v>
      </c>
      <c r="D59" s="5" t="s">
        <v>21</v>
      </c>
      <c r="E59" s="102">
        <v>15</v>
      </c>
      <c r="F59" s="35">
        <f>C59*E59</f>
        <v>300</v>
      </c>
    </row>
    <row r="61" spans="2:7" x14ac:dyDescent="0.2">
      <c r="B61" s="13" t="s">
        <v>48</v>
      </c>
      <c r="C61" s="14"/>
      <c r="D61" s="14"/>
      <c r="E61" s="55"/>
      <c r="F61" s="31">
        <f>F57-F59</f>
        <v>921.6415714285713</v>
      </c>
    </row>
    <row r="63" spans="2:7" x14ac:dyDescent="0.2">
      <c r="B63" s="23"/>
      <c r="C63" s="24"/>
      <c r="D63" s="24"/>
      <c r="E63" s="46"/>
      <c r="F63" s="46"/>
    </row>
    <row r="64" spans="2:7" s="59" customFormat="1" x14ac:dyDescent="0.2">
      <c r="C64" s="63"/>
      <c r="D64" s="63"/>
      <c r="E64" s="60"/>
      <c r="F64" s="60"/>
    </row>
    <row r="65" spans="2:6" x14ac:dyDescent="0.2">
      <c r="B65" s="175" t="s">
        <v>132</v>
      </c>
      <c r="C65" s="175"/>
      <c r="D65" s="175"/>
      <c r="E65" s="175"/>
      <c r="F65" s="175"/>
    </row>
    <row r="66" spans="2:6" x14ac:dyDescent="0.2">
      <c r="B66" s="2"/>
    </row>
    <row r="67" spans="2:6" x14ac:dyDescent="0.2">
      <c r="B67" s="2"/>
    </row>
    <row r="68" spans="2:6" x14ac:dyDescent="0.2">
      <c r="B68" s="2"/>
    </row>
    <row r="69" spans="2:6" x14ac:dyDescent="0.2">
      <c r="B69" s="2"/>
    </row>
    <row r="70" spans="2:6" x14ac:dyDescent="0.2">
      <c r="B70" s="2"/>
    </row>
  </sheetData>
  <sheetProtection password="CF0F" sheet="1" objects="1" scenarios="1"/>
  <mergeCells count="2">
    <mergeCell ref="B65:F65"/>
    <mergeCell ref="E4:F6"/>
  </mergeCells>
  <hyperlinks>
    <hyperlink ref="E4:F6" location="Contents" display="Return to Table of Contents"/>
  </hyperlinks>
  <pageMargins left="0.75" right="0.75" top="1" bottom="1" header="0.5" footer="0.5"/>
  <pageSetup scale="7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2:G64"/>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110</v>
      </c>
    </row>
    <row r="3" spans="2:7" ht="13.5" thickBot="1" x14ac:dyDescent="0.25">
      <c r="B3" s="1" t="s">
        <v>194</v>
      </c>
    </row>
    <row r="4" spans="2:7" x14ac:dyDescent="0.2">
      <c r="B4" s="1"/>
      <c r="E4" s="183" t="s">
        <v>171</v>
      </c>
      <c r="F4" s="184"/>
    </row>
    <row r="5" spans="2:7" x14ac:dyDescent="0.2">
      <c r="B5" s="1"/>
      <c r="E5" s="185"/>
      <c r="F5" s="186"/>
    </row>
    <row r="6" spans="2:7" ht="13.5" thickBot="1" x14ac:dyDescent="0.25">
      <c r="B6" s="1"/>
      <c r="E6" s="187"/>
      <c r="F6" s="188"/>
    </row>
    <row r="7" spans="2:7" x14ac:dyDescent="0.2">
      <c r="B7" s="1"/>
    </row>
    <row r="8" spans="2:7" x14ac:dyDescent="0.2">
      <c r="C8" s="16" t="s">
        <v>0</v>
      </c>
      <c r="D8" s="16" t="s">
        <v>1</v>
      </c>
      <c r="E8" s="31" t="s">
        <v>2</v>
      </c>
      <c r="F8" s="31" t="s">
        <v>3</v>
      </c>
    </row>
    <row r="9" spans="2:7" x14ac:dyDescent="0.2">
      <c r="B9" s="1" t="s">
        <v>4</v>
      </c>
    </row>
    <row r="10" spans="2:7" x14ac:dyDescent="0.2">
      <c r="B10" t="s">
        <v>104</v>
      </c>
      <c r="C10" s="111">
        <v>450</v>
      </c>
      <c r="D10" s="4" t="s">
        <v>27</v>
      </c>
      <c r="E10" s="102">
        <v>12</v>
      </c>
      <c r="F10" s="35">
        <f>C10*E10</f>
        <v>5400</v>
      </c>
      <c r="G10" s="2"/>
    </row>
    <row r="11" spans="2:7" x14ac:dyDescent="0.2">
      <c r="E11" s="87"/>
    </row>
    <row r="12" spans="2:7" x14ac:dyDescent="0.2">
      <c r="B12" s="23"/>
      <c r="C12" s="24"/>
      <c r="D12" s="24"/>
      <c r="E12" s="88"/>
      <c r="F12" s="46"/>
    </row>
    <row r="13" spans="2:7" x14ac:dyDescent="0.2">
      <c r="B13" s="1" t="s">
        <v>7</v>
      </c>
      <c r="E13" s="87"/>
    </row>
    <row r="14" spans="2:7" x14ac:dyDescent="0.2">
      <c r="B14" s="1" t="s">
        <v>131</v>
      </c>
      <c r="E14" s="87"/>
    </row>
    <row r="15" spans="2:7" x14ac:dyDescent="0.2">
      <c r="B15" t="s">
        <v>9</v>
      </c>
      <c r="C15" s="99">
        <v>0.5</v>
      </c>
      <c r="D15" s="4" t="s">
        <v>10</v>
      </c>
      <c r="E15" s="102">
        <v>20</v>
      </c>
      <c r="F15" s="35">
        <f>C15*E15</f>
        <v>10</v>
      </c>
    </row>
    <row r="16" spans="2:7" x14ac:dyDescent="0.2">
      <c r="B16" t="s">
        <v>75</v>
      </c>
      <c r="C16" s="4">
        <v>1</v>
      </c>
      <c r="D16" s="4" t="s">
        <v>18</v>
      </c>
      <c r="E16" s="102">
        <v>120</v>
      </c>
      <c r="F16" s="35">
        <f>C16*E16</f>
        <v>120</v>
      </c>
    </row>
    <row r="17" spans="2:7" x14ac:dyDescent="0.2">
      <c r="B17" t="s">
        <v>53</v>
      </c>
      <c r="C17" s="99">
        <v>2</v>
      </c>
      <c r="D17" s="4" t="s">
        <v>12</v>
      </c>
      <c r="E17" s="102">
        <v>60</v>
      </c>
      <c r="F17" s="35">
        <f>C17*E17</f>
        <v>120</v>
      </c>
    </row>
    <row r="18" spans="2:7" x14ac:dyDescent="0.2">
      <c r="B18" t="s">
        <v>57</v>
      </c>
      <c r="C18" s="4">
        <v>1</v>
      </c>
      <c r="D18" s="4" t="s">
        <v>18</v>
      </c>
      <c r="E18" s="102">
        <v>382</v>
      </c>
      <c r="F18" s="35">
        <f t="shared" ref="F18:F23" si="0">C18*E18</f>
        <v>382</v>
      </c>
      <c r="G18" s="2"/>
    </row>
    <row r="19" spans="2:7" x14ac:dyDescent="0.2">
      <c r="B19" t="s">
        <v>69</v>
      </c>
      <c r="C19" s="4">
        <v>1</v>
      </c>
      <c r="D19" s="4" t="s">
        <v>18</v>
      </c>
      <c r="E19" s="102">
        <v>40.92</v>
      </c>
      <c r="F19" s="35">
        <f t="shared" si="0"/>
        <v>40.92</v>
      </c>
      <c r="G19" s="2"/>
    </row>
    <row r="20" spans="2:7" x14ac:dyDescent="0.2">
      <c r="B20" t="s">
        <v>17</v>
      </c>
      <c r="C20" s="4">
        <v>1</v>
      </c>
      <c r="D20" s="4" t="s">
        <v>18</v>
      </c>
      <c r="E20" s="102">
        <v>107.66</v>
      </c>
      <c r="F20" s="35">
        <f t="shared" si="0"/>
        <v>107.66</v>
      </c>
      <c r="G20" s="2"/>
    </row>
    <row r="21" spans="2:7" x14ac:dyDescent="0.2">
      <c r="B21" t="s">
        <v>59</v>
      </c>
      <c r="C21" s="4">
        <v>1</v>
      </c>
      <c r="D21" s="4" t="s">
        <v>18</v>
      </c>
      <c r="E21" s="102">
        <v>167.2</v>
      </c>
      <c r="F21" s="35">
        <f t="shared" si="0"/>
        <v>167.2</v>
      </c>
      <c r="G21" s="2"/>
    </row>
    <row r="22" spans="2:7" x14ac:dyDescent="0.2">
      <c r="B22" t="s">
        <v>60</v>
      </c>
      <c r="C22" s="99">
        <v>1</v>
      </c>
      <c r="D22" s="4" t="s">
        <v>61</v>
      </c>
      <c r="E22" s="102">
        <v>75</v>
      </c>
      <c r="F22" s="35">
        <f t="shared" si="0"/>
        <v>75</v>
      </c>
    </row>
    <row r="23" spans="2:7" x14ac:dyDescent="0.2">
      <c r="B23" t="s">
        <v>23</v>
      </c>
      <c r="C23" s="53">
        <v>1</v>
      </c>
      <c r="D23" s="6" t="s">
        <v>18</v>
      </c>
      <c r="E23" s="103">
        <v>70.069999999999993</v>
      </c>
      <c r="F23" s="38">
        <f t="shared" si="0"/>
        <v>70.069999999999993</v>
      </c>
      <c r="G23" s="2"/>
    </row>
    <row r="24" spans="2:7" x14ac:dyDescent="0.2">
      <c r="B24" s="1" t="s">
        <v>24</v>
      </c>
      <c r="E24" s="87"/>
      <c r="F24" s="39">
        <f>SUM(F15:F23)</f>
        <v>1092.8499999999999</v>
      </c>
      <c r="G24" s="2"/>
    </row>
    <row r="25" spans="2:7" x14ac:dyDescent="0.2">
      <c r="E25" s="87"/>
    </row>
    <row r="26" spans="2:7" x14ac:dyDescent="0.2">
      <c r="B26" s="1" t="s">
        <v>25</v>
      </c>
      <c r="E26" s="87"/>
    </row>
    <row r="27" spans="2:7" x14ac:dyDescent="0.2">
      <c r="B27" t="s">
        <v>105</v>
      </c>
      <c r="C27" s="64">
        <f>C10</f>
        <v>450</v>
      </c>
      <c r="D27" s="4" t="s">
        <v>27</v>
      </c>
      <c r="E27" s="102">
        <v>1.1000000000000001</v>
      </c>
      <c r="F27" s="35">
        <f>C27*E27</f>
        <v>495.00000000000006</v>
      </c>
    </row>
    <row r="28" spans="2:7" x14ac:dyDescent="0.2">
      <c r="B28" t="s">
        <v>62</v>
      </c>
      <c r="C28" s="99">
        <v>18</v>
      </c>
      <c r="D28" s="4" t="s">
        <v>21</v>
      </c>
      <c r="E28" s="102">
        <v>9</v>
      </c>
      <c r="F28" s="35">
        <f>C28*E28</f>
        <v>162</v>
      </c>
    </row>
    <row r="29" spans="2:7" x14ac:dyDescent="0.2">
      <c r="B29" t="s">
        <v>63</v>
      </c>
      <c r="C29" s="4">
        <v>1</v>
      </c>
      <c r="D29" s="4" t="s">
        <v>64</v>
      </c>
      <c r="E29" s="102">
        <v>10</v>
      </c>
      <c r="F29" s="35">
        <f>C29*E29</f>
        <v>10</v>
      </c>
    </row>
    <row r="30" spans="2:7" x14ac:dyDescent="0.2">
      <c r="B30" t="s">
        <v>28</v>
      </c>
      <c r="E30" s="72"/>
    </row>
    <row r="31" spans="2:7" x14ac:dyDescent="0.2">
      <c r="B31" t="s">
        <v>102</v>
      </c>
      <c r="C31" s="108">
        <v>60</v>
      </c>
      <c r="D31" s="5" t="s">
        <v>21</v>
      </c>
      <c r="E31" s="102">
        <v>9</v>
      </c>
      <c r="F31" s="35">
        <f>C31*E31</f>
        <v>540</v>
      </c>
    </row>
    <row r="32" spans="2:7" x14ac:dyDescent="0.2">
      <c r="B32" t="s">
        <v>31</v>
      </c>
      <c r="C32" s="95">
        <v>0.1</v>
      </c>
      <c r="D32" s="4" t="s">
        <v>32</v>
      </c>
      <c r="E32" s="72"/>
      <c r="F32" s="35">
        <f>C32*F10</f>
        <v>540</v>
      </c>
      <c r="G32" s="2"/>
    </row>
    <row r="33" spans="2:6" x14ac:dyDescent="0.2">
      <c r="B33" t="s">
        <v>35</v>
      </c>
      <c r="C33" s="62">
        <f>C10</f>
        <v>450</v>
      </c>
      <c r="D33" s="6" t="s">
        <v>27</v>
      </c>
      <c r="E33" s="103">
        <v>0.09</v>
      </c>
      <c r="F33" s="38">
        <f>C33*E33</f>
        <v>40.5</v>
      </c>
    </row>
    <row r="34" spans="2:6" x14ac:dyDescent="0.2">
      <c r="B34" s="1" t="s">
        <v>36</v>
      </c>
      <c r="F34" s="39">
        <f>SUM(F27:F33)</f>
        <v>1787.5</v>
      </c>
    </row>
    <row r="36" spans="2:6" x14ac:dyDescent="0.2">
      <c r="B36" s="3" t="s">
        <v>175</v>
      </c>
      <c r="F36" s="36">
        <f>(0.05*0.5*F24)+(0.05*0.25*F34)</f>
        <v>49.664999999999999</v>
      </c>
    </row>
    <row r="38" spans="2:6" x14ac:dyDescent="0.2">
      <c r="B38" s="1" t="s">
        <v>37</v>
      </c>
      <c r="C38" s="18"/>
      <c r="D38" s="18"/>
      <c r="E38" s="39"/>
      <c r="F38" s="39">
        <f>SUM(F24+F34+F36)</f>
        <v>2930.0149999999999</v>
      </c>
    </row>
    <row r="40" spans="2:6" x14ac:dyDescent="0.2">
      <c r="B40" s="13" t="s">
        <v>38</v>
      </c>
      <c r="C40" s="14"/>
      <c r="D40" s="14"/>
      <c r="E40" s="55"/>
      <c r="F40" s="31">
        <f>F10-F38</f>
        <v>2469.9850000000001</v>
      </c>
    </row>
    <row r="42" spans="2:6" x14ac:dyDescent="0.2">
      <c r="B42" s="23"/>
      <c r="C42" s="24"/>
      <c r="D42" s="24"/>
      <c r="E42" s="46"/>
      <c r="F42" s="46"/>
    </row>
    <row r="43" spans="2:6" x14ac:dyDescent="0.2">
      <c r="B43" s="1" t="s">
        <v>39</v>
      </c>
    </row>
    <row r="44" spans="2:6" x14ac:dyDescent="0.2">
      <c r="B44" t="s">
        <v>40</v>
      </c>
      <c r="F44" s="37">
        <f>70.7</f>
        <v>70.7</v>
      </c>
    </row>
    <row r="45" spans="2:6" x14ac:dyDescent="0.2">
      <c r="B45" t="s">
        <v>41</v>
      </c>
      <c r="F45" s="37">
        <f>1327/7</f>
        <v>189.57142857142858</v>
      </c>
    </row>
    <row r="46" spans="2:6" x14ac:dyDescent="0.2">
      <c r="B46" t="s">
        <v>42</v>
      </c>
      <c r="F46" s="37">
        <v>5</v>
      </c>
    </row>
    <row r="47" spans="2:6" x14ac:dyDescent="0.2">
      <c r="B47" t="s">
        <v>43</v>
      </c>
      <c r="C47" s="6"/>
      <c r="D47" s="6"/>
      <c r="E47" s="56"/>
      <c r="F47" s="54">
        <f>0.015*F10</f>
        <v>81</v>
      </c>
    </row>
    <row r="48" spans="2:6" x14ac:dyDescent="0.2">
      <c r="B48" s="1" t="s">
        <v>44</v>
      </c>
      <c r="F48" s="44">
        <f>SUM(F44:F47)</f>
        <v>346.2714285714286</v>
      </c>
    </row>
    <row r="50" spans="2:6" x14ac:dyDescent="0.2">
      <c r="B50" s="1" t="s">
        <v>45</v>
      </c>
      <c r="F50" s="39">
        <f>F38+F48</f>
        <v>3276.2864285714286</v>
      </c>
    </row>
    <row r="52" spans="2:6" x14ac:dyDescent="0.2">
      <c r="B52" s="13" t="s">
        <v>46</v>
      </c>
      <c r="C52" s="16"/>
      <c r="D52" s="16"/>
      <c r="E52" s="31"/>
      <c r="F52" s="31">
        <f>F10-F50</f>
        <v>2123.7135714285714</v>
      </c>
    </row>
    <row r="54" spans="2:6" x14ac:dyDescent="0.2">
      <c r="B54" t="s">
        <v>47</v>
      </c>
      <c r="C54" s="99">
        <v>20</v>
      </c>
      <c r="D54" s="5" t="s">
        <v>21</v>
      </c>
      <c r="E54" s="102">
        <v>15</v>
      </c>
      <c r="F54" s="35">
        <f>C54*E54</f>
        <v>300</v>
      </c>
    </row>
    <row r="56" spans="2:6" x14ac:dyDescent="0.2">
      <c r="B56" s="13" t="s">
        <v>48</v>
      </c>
      <c r="C56" s="14"/>
      <c r="D56" s="14"/>
      <c r="E56" s="55"/>
      <c r="F56" s="31">
        <f>F52-F54</f>
        <v>1823.7135714285714</v>
      </c>
    </row>
    <row r="58" spans="2:6" x14ac:dyDescent="0.2">
      <c r="B58" s="23"/>
      <c r="C58" s="24"/>
      <c r="D58" s="24"/>
      <c r="E58" s="46"/>
      <c r="F58" s="46"/>
    </row>
    <row r="59" spans="2:6" s="59" customFormat="1" x14ac:dyDescent="0.2">
      <c r="C59" s="63"/>
      <c r="D59" s="63"/>
      <c r="E59" s="60"/>
      <c r="F59" s="60"/>
    </row>
    <row r="60" spans="2:6" x14ac:dyDescent="0.2">
      <c r="B60" s="175" t="s">
        <v>132</v>
      </c>
      <c r="C60" s="175"/>
      <c r="D60" s="175"/>
      <c r="E60" s="175"/>
      <c r="F60" s="175"/>
    </row>
    <row r="61" spans="2:6" x14ac:dyDescent="0.2">
      <c r="B61" s="2"/>
    </row>
    <row r="62" spans="2:6" x14ac:dyDescent="0.2">
      <c r="B62" s="2"/>
    </row>
    <row r="63" spans="2:6" x14ac:dyDescent="0.2">
      <c r="B63" s="2"/>
    </row>
    <row r="64" spans="2:6" x14ac:dyDescent="0.2">
      <c r="B64" s="2"/>
    </row>
  </sheetData>
  <sheetProtection password="CF0F" sheet="1" objects="1" scenarios="1"/>
  <mergeCells count="2">
    <mergeCell ref="B60:F60"/>
    <mergeCell ref="E4:F6"/>
  </mergeCells>
  <hyperlinks>
    <hyperlink ref="E4:F6" location="Contents" display="Return to Table of Contents"/>
  </hyperlinks>
  <pageMargins left="0.75" right="0.75" top="1" bottom="1" header="0.5" footer="0.5"/>
  <pageSetup scale="8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2:G64"/>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142</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1" t="s">
        <v>2</v>
      </c>
      <c r="F8" s="31" t="s">
        <v>3</v>
      </c>
    </row>
    <row r="9" spans="2:7" x14ac:dyDescent="0.2">
      <c r="B9" s="1" t="s">
        <v>4</v>
      </c>
    </row>
    <row r="10" spans="2:7" x14ac:dyDescent="0.2">
      <c r="B10" t="s">
        <v>106</v>
      </c>
      <c r="C10" s="99">
        <v>340</v>
      </c>
      <c r="D10" s="4" t="s">
        <v>107</v>
      </c>
      <c r="E10" s="102">
        <v>10</v>
      </c>
      <c r="F10" s="35">
        <f>C10*E10</f>
        <v>3400</v>
      </c>
      <c r="G10" s="2"/>
    </row>
    <row r="12" spans="2:7" ht="12.75" customHeight="1" x14ac:dyDescent="0.2">
      <c r="B12" s="23"/>
      <c r="C12" s="24"/>
      <c r="D12" s="24"/>
      <c r="E12" s="46"/>
      <c r="F12" s="46"/>
    </row>
    <row r="13" spans="2:7" x14ac:dyDescent="0.2">
      <c r="B13" s="1" t="s">
        <v>7</v>
      </c>
    </row>
    <row r="14" spans="2:7" x14ac:dyDescent="0.2">
      <c r="B14" s="1" t="s">
        <v>131</v>
      </c>
    </row>
    <row r="15" spans="2:7" x14ac:dyDescent="0.2">
      <c r="B15" t="s">
        <v>53</v>
      </c>
      <c r="C15" s="99">
        <v>15</v>
      </c>
      <c r="D15" s="4" t="s">
        <v>12</v>
      </c>
      <c r="E15" s="102">
        <v>6.5</v>
      </c>
      <c r="F15" s="35">
        <f>C15*E15</f>
        <v>97.5</v>
      </c>
    </row>
    <row r="16" spans="2:7" x14ac:dyDescent="0.2">
      <c r="B16" t="s">
        <v>9</v>
      </c>
      <c r="C16" s="99">
        <v>0.5</v>
      </c>
      <c r="D16" s="4" t="s">
        <v>10</v>
      </c>
      <c r="E16" s="102">
        <v>20</v>
      </c>
      <c r="F16" s="35">
        <f>C16*E16</f>
        <v>10</v>
      </c>
    </row>
    <row r="17" spans="2:7" x14ac:dyDescent="0.2">
      <c r="B17" t="s">
        <v>92</v>
      </c>
      <c r="C17" s="99">
        <v>8</v>
      </c>
      <c r="D17" s="4" t="s">
        <v>55</v>
      </c>
      <c r="E17" s="102">
        <v>35</v>
      </c>
      <c r="F17" s="35">
        <f t="shared" ref="F17:F22" si="0">C17*E17</f>
        <v>280</v>
      </c>
    </row>
    <row r="18" spans="2:7" x14ac:dyDescent="0.2">
      <c r="B18" t="s">
        <v>56</v>
      </c>
      <c r="C18" s="99">
        <v>1.5</v>
      </c>
      <c r="D18" s="4" t="s">
        <v>55</v>
      </c>
      <c r="E18" s="102">
        <v>40</v>
      </c>
      <c r="F18" s="35">
        <f t="shared" si="0"/>
        <v>60</v>
      </c>
    </row>
    <row r="19" spans="2:7" x14ac:dyDescent="0.2">
      <c r="B19" t="s">
        <v>15</v>
      </c>
      <c r="C19" s="4">
        <v>1</v>
      </c>
      <c r="D19" s="4" t="s">
        <v>18</v>
      </c>
      <c r="E19" s="102">
        <v>34</v>
      </c>
      <c r="F19" s="35">
        <f t="shared" si="0"/>
        <v>34</v>
      </c>
      <c r="G19" s="2"/>
    </row>
    <row r="20" spans="2:7" x14ac:dyDescent="0.2">
      <c r="B20" t="s">
        <v>17</v>
      </c>
      <c r="C20" s="4">
        <v>1</v>
      </c>
      <c r="D20" s="4" t="s">
        <v>18</v>
      </c>
      <c r="E20" s="102">
        <v>124.83</v>
      </c>
      <c r="F20" s="35">
        <f t="shared" si="0"/>
        <v>124.83</v>
      </c>
      <c r="G20" s="2"/>
    </row>
    <row r="21" spans="2:7" x14ac:dyDescent="0.2">
      <c r="B21" t="s">
        <v>19</v>
      </c>
      <c r="C21" s="4">
        <v>1</v>
      </c>
      <c r="D21" s="4" t="s">
        <v>18</v>
      </c>
      <c r="E21" s="102">
        <v>10.4</v>
      </c>
      <c r="F21" s="35">
        <f t="shared" si="0"/>
        <v>10.4</v>
      </c>
      <c r="G21" s="2"/>
    </row>
    <row r="22" spans="2:7" x14ac:dyDescent="0.2">
      <c r="B22" t="s">
        <v>20</v>
      </c>
      <c r="C22" s="99">
        <v>8</v>
      </c>
      <c r="D22" s="5" t="s">
        <v>21</v>
      </c>
      <c r="E22" s="102">
        <v>7.5</v>
      </c>
      <c r="F22" s="35">
        <f t="shared" si="0"/>
        <v>60</v>
      </c>
      <c r="G22" s="2"/>
    </row>
    <row r="23" spans="2:7" x14ac:dyDescent="0.2">
      <c r="B23" t="s">
        <v>23</v>
      </c>
      <c r="C23" s="53">
        <v>1</v>
      </c>
      <c r="D23" s="53" t="s">
        <v>18</v>
      </c>
      <c r="E23" s="103">
        <f>53.45</f>
        <v>53.45</v>
      </c>
      <c r="F23" s="54">
        <f>C23*E23</f>
        <v>53.45</v>
      </c>
      <c r="G23" s="2"/>
    </row>
    <row r="24" spans="2:7" x14ac:dyDescent="0.2">
      <c r="B24" s="1" t="s">
        <v>24</v>
      </c>
      <c r="E24" s="87"/>
      <c r="F24" s="39">
        <f>SUM(F15:F23)</f>
        <v>730.18000000000006</v>
      </c>
    </row>
    <row r="25" spans="2:7" x14ac:dyDescent="0.2">
      <c r="C25" s="63"/>
      <c r="E25" s="87"/>
    </row>
    <row r="26" spans="2:7" x14ac:dyDescent="0.2">
      <c r="B26" s="1" t="s">
        <v>25</v>
      </c>
      <c r="E26" s="87"/>
    </row>
    <row r="27" spans="2:7" x14ac:dyDescent="0.2">
      <c r="B27" t="s">
        <v>108</v>
      </c>
      <c r="C27" s="4">
        <f>C10</f>
        <v>340</v>
      </c>
      <c r="D27" s="4" t="s">
        <v>109</v>
      </c>
      <c r="E27" s="102">
        <v>1.75</v>
      </c>
      <c r="F27" s="35">
        <f>C27*E27</f>
        <v>595</v>
      </c>
    </row>
    <row r="28" spans="2:7" x14ac:dyDescent="0.2">
      <c r="B28" t="s">
        <v>28</v>
      </c>
      <c r="E28" s="72"/>
    </row>
    <row r="29" spans="2:7" x14ac:dyDescent="0.2">
      <c r="B29" t="s">
        <v>29</v>
      </c>
      <c r="C29" s="109">
        <v>1.6</v>
      </c>
      <c r="D29" s="4" t="s">
        <v>107</v>
      </c>
      <c r="E29" s="72"/>
      <c r="F29" s="35">
        <f>C10*C29</f>
        <v>544</v>
      </c>
      <c r="G29" s="2"/>
    </row>
    <row r="30" spans="2:7" x14ac:dyDescent="0.2">
      <c r="B30" t="s">
        <v>30</v>
      </c>
      <c r="C30" s="108">
        <v>2.5</v>
      </c>
      <c r="D30" s="5" t="s">
        <v>21</v>
      </c>
      <c r="E30" s="102">
        <v>9</v>
      </c>
      <c r="F30" s="35">
        <f>C30*E30</f>
        <v>22.5</v>
      </c>
    </row>
    <row r="31" spans="2:7" x14ac:dyDescent="0.2">
      <c r="B31" t="s">
        <v>31</v>
      </c>
      <c r="C31" s="95">
        <v>0.1</v>
      </c>
      <c r="D31" s="4" t="s">
        <v>32</v>
      </c>
      <c r="E31" s="72"/>
      <c r="F31" s="35">
        <f>C31*F10</f>
        <v>340</v>
      </c>
    </row>
    <row r="32" spans="2:7" x14ac:dyDescent="0.2">
      <c r="B32" t="s">
        <v>35</v>
      </c>
      <c r="C32" s="6">
        <f>C27</f>
        <v>340</v>
      </c>
      <c r="D32" s="6" t="s">
        <v>109</v>
      </c>
      <c r="E32" s="103">
        <v>0.09</v>
      </c>
      <c r="F32" s="38">
        <f>C32*E32</f>
        <v>30.599999999999998</v>
      </c>
    </row>
    <row r="33" spans="2:7" x14ac:dyDescent="0.2">
      <c r="B33" s="1" t="s">
        <v>36</v>
      </c>
      <c r="F33" s="39">
        <f>SUM(F27:F32)</f>
        <v>1532.1</v>
      </c>
    </row>
    <row r="35" spans="2:7" x14ac:dyDescent="0.2">
      <c r="B35" s="3" t="s">
        <v>175</v>
      </c>
      <c r="F35" s="36">
        <f>(0.05*0.5*F24)+(0.05*0.25*F33)</f>
        <v>37.405750000000005</v>
      </c>
    </row>
    <row r="37" spans="2:7" x14ac:dyDescent="0.2">
      <c r="B37" s="1" t="s">
        <v>37</v>
      </c>
      <c r="C37" s="18"/>
      <c r="D37" s="18"/>
      <c r="E37" s="39"/>
      <c r="F37" s="39">
        <f>SUM(F24+F33+F35)</f>
        <v>2299.6857499999996</v>
      </c>
    </row>
    <row r="38" spans="2:7" ht="12.75" customHeight="1" x14ac:dyDescent="0.2"/>
    <row r="39" spans="2:7" x14ac:dyDescent="0.2">
      <c r="B39" s="13" t="s">
        <v>38</v>
      </c>
      <c r="C39" s="14"/>
      <c r="D39" s="14"/>
      <c r="E39" s="55"/>
      <c r="F39" s="31">
        <f>F10-F37</f>
        <v>1100.3142500000004</v>
      </c>
    </row>
    <row r="40" spans="2:7" x14ac:dyDescent="0.2">
      <c r="B40" s="9"/>
      <c r="C40" s="12"/>
      <c r="D40" s="12"/>
      <c r="E40" s="43"/>
      <c r="F40" s="40"/>
    </row>
    <row r="41" spans="2:7" x14ac:dyDescent="0.2">
      <c r="B41" s="23"/>
      <c r="C41" s="24"/>
      <c r="D41" s="24"/>
      <c r="E41" s="46"/>
      <c r="F41" s="46"/>
    </row>
    <row r="42" spans="2:7" x14ac:dyDescent="0.2">
      <c r="B42" s="1" t="s">
        <v>39</v>
      </c>
    </row>
    <row r="43" spans="2:7" x14ac:dyDescent="0.2">
      <c r="B43" t="s">
        <v>40</v>
      </c>
      <c r="F43" s="37">
        <f>81.36</f>
        <v>81.36</v>
      </c>
      <c r="G43" s="2"/>
    </row>
    <row r="44" spans="2:7" x14ac:dyDescent="0.2">
      <c r="B44" t="s">
        <v>41</v>
      </c>
      <c r="F44" s="37">
        <v>300</v>
      </c>
      <c r="G44" s="2"/>
    </row>
    <row r="45" spans="2:7" x14ac:dyDescent="0.2">
      <c r="B45" t="s">
        <v>42</v>
      </c>
      <c r="F45" s="37">
        <v>5</v>
      </c>
    </row>
    <row r="46" spans="2:7" x14ac:dyDescent="0.2">
      <c r="B46" t="s">
        <v>43</v>
      </c>
      <c r="C46" s="6"/>
      <c r="D46" s="6"/>
      <c r="E46" s="56"/>
      <c r="F46" s="54">
        <f>0.015*F10</f>
        <v>51</v>
      </c>
    </row>
    <row r="47" spans="2:7" x14ac:dyDescent="0.2">
      <c r="B47" s="1" t="s">
        <v>44</v>
      </c>
      <c r="F47" s="44">
        <f>SUM(F43:F46)</f>
        <v>437.36</v>
      </c>
    </row>
    <row r="49" spans="2:6" x14ac:dyDescent="0.2">
      <c r="B49" s="1" t="s">
        <v>45</v>
      </c>
      <c r="F49" s="39">
        <f>F37+F47</f>
        <v>2737.0457499999998</v>
      </c>
    </row>
    <row r="51" spans="2:6" x14ac:dyDescent="0.2">
      <c r="B51" s="13" t="s">
        <v>46</v>
      </c>
      <c r="C51" s="16"/>
      <c r="D51" s="16"/>
      <c r="E51" s="31"/>
      <c r="F51" s="31">
        <f>F10-F49</f>
        <v>662.95425000000023</v>
      </c>
    </row>
    <row r="53" spans="2:6" x14ac:dyDescent="0.2">
      <c r="B53" t="s">
        <v>47</v>
      </c>
      <c r="C53" s="99">
        <v>20</v>
      </c>
      <c r="D53" s="5" t="s">
        <v>21</v>
      </c>
      <c r="E53" s="102">
        <v>15</v>
      </c>
      <c r="F53" s="35">
        <f>C53*E53</f>
        <v>300</v>
      </c>
    </row>
    <row r="55" spans="2:6" x14ac:dyDescent="0.2">
      <c r="B55" s="1" t="s">
        <v>48</v>
      </c>
      <c r="F55" s="39">
        <f>F51-F53</f>
        <v>362.95425000000023</v>
      </c>
    </row>
    <row r="57" spans="2:6" ht="12.75" customHeight="1" x14ac:dyDescent="0.2">
      <c r="B57" s="23"/>
      <c r="C57" s="24"/>
      <c r="D57" s="24"/>
      <c r="E57" s="46"/>
      <c r="F57" s="46"/>
    </row>
    <row r="58" spans="2:6" ht="13.5" customHeight="1" x14ac:dyDescent="0.2">
      <c r="B58" s="2"/>
    </row>
    <row r="59" spans="2:6" x14ac:dyDescent="0.2">
      <c r="B59" s="175" t="s">
        <v>132</v>
      </c>
      <c r="C59" s="175"/>
      <c r="D59" s="175"/>
      <c r="E59" s="175"/>
      <c r="F59" s="175"/>
    </row>
    <row r="60" spans="2:6" x14ac:dyDescent="0.2">
      <c r="B60" s="2"/>
    </row>
    <row r="61" spans="2:6" x14ac:dyDescent="0.2">
      <c r="B61" s="2"/>
    </row>
    <row r="62" spans="2:6" x14ac:dyDescent="0.2">
      <c r="B62" s="2"/>
    </row>
    <row r="63" spans="2:6" x14ac:dyDescent="0.2">
      <c r="B63" s="2"/>
    </row>
    <row r="64" spans="2:6" x14ac:dyDescent="0.2">
      <c r="B64" s="2"/>
    </row>
  </sheetData>
  <sheetProtection password="CF0F" sheet="1" objects="1" scenarios="1"/>
  <mergeCells count="2">
    <mergeCell ref="B59:F59"/>
    <mergeCell ref="E4:F6"/>
  </mergeCells>
  <hyperlinks>
    <hyperlink ref="E4:F6" location="Contents" display="Return to Table of Contents"/>
  </hyperlinks>
  <pageMargins left="0.75" right="0.75" top="1" bottom="1" header="0.5" footer="0.5"/>
  <pageSetup scale="8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2:G67"/>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183</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1" t="s">
        <v>2</v>
      </c>
      <c r="F8" s="31" t="s">
        <v>3</v>
      </c>
    </row>
    <row r="9" spans="2:7" x14ac:dyDescent="0.2">
      <c r="B9" s="1" t="s">
        <v>4</v>
      </c>
    </row>
    <row r="10" spans="2:7" x14ac:dyDescent="0.2">
      <c r="B10" s="1" t="s">
        <v>176</v>
      </c>
      <c r="C10">
        <v>275</v>
      </c>
      <c r="D10" t="s">
        <v>6</v>
      </c>
      <c r="E10" s="116">
        <v>20</v>
      </c>
      <c r="F10" s="117">
        <f>C10*E10</f>
        <v>5500</v>
      </c>
    </row>
    <row r="11" spans="2:7" x14ac:dyDescent="0.2">
      <c r="B11" s="1" t="s">
        <v>177</v>
      </c>
      <c r="C11">
        <v>150</v>
      </c>
      <c r="D11" t="s">
        <v>6</v>
      </c>
      <c r="E11" s="116">
        <v>12</v>
      </c>
      <c r="F11" s="117">
        <f>C11*E11</f>
        <v>1800</v>
      </c>
      <c r="G11" s="2"/>
    </row>
    <row r="12" spans="2:7" x14ac:dyDescent="0.2">
      <c r="B12" t="s">
        <v>178</v>
      </c>
      <c r="C12" s="3">
        <f>SUM(C10:C11)</f>
        <v>425</v>
      </c>
      <c r="D12" t="s">
        <v>6</v>
      </c>
      <c r="E12" s="116"/>
      <c r="F12" s="116">
        <f>SUM(F10:F11)</f>
        <v>7300</v>
      </c>
      <c r="G12" s="2"/>
    </row>
    <row r="14" spans="2:7" ht="12.75" customHeight="1" x14ac:dyDescent="0.2">
      <c r="B14" s="23"/>
      <c r="C14" s="24"/>
      <c r="D14" s="24"/>
      <c r="E14" s="46"/>
      <c r="F14" s="46"/>
    </row>
    <row r="15" spans="2:7" x14ac:dyDescent="0.2">
      <c r="B15" s="1" t="s">
        <v>7</v>
      </c>
    </row>
    <row r="16" spans="2:7" x14ac:dyDescent="0.2">
      <c r="B16" s="1" t="s">
        <v>131</v>
      </c>
    </row>
    <row r="17" spans="2:7" x14ac:dyDescent="0.2">
      <c r="B17" t="s">
        <v>9</v>
      </c>
      <c r="C17" s="99">
        <v>0.5</v>
      </c>
      <c r="D17" s="4" t="s">
        <v>10</v>
      </c>
      <c r="E17" s="102">
        <v>20</v>
      </c>
      <c r="F17" s="35">
        <f>C17*E17</f>
        <v>10</v>
      </c>
    </row>
    <row r="18" spans="2:7" x14ac:dyDescent="0.2">
      <c r="B18" s="3" t="s">
        <v>73</v>
      </c>
      <c r="C18" s="99">
        <v>13</v>
      </c>
      <c r="D18" s="5" t="s">
        <v>179</v>
      </c>
      <c r="E18" s="102">
        <v>50</v>
      </c>
      <c r="F18" s="35">
        <f>C18*E18</f>
        <v>650</v>
      </c>
    </row>
    <row r="19" spans="2:7" x14ac:dyDescent="0.2">
      <c r="B19" t="s">
        <v>92</v>
      </c>
      <c r="C19" s="99">
        <v>1</v>
      </c>
      <c r="D19" s="5" t="s">
        <v>18</v>
      </c>
      <c r="E19" s="102">
        <v>200</v>
      </c>
      <c r="F19" s="35">
        <f t="shared" ref="F19:F24" si="0">C19*E19</f>
        <v>200</v>
      </c>
    </row>
    <row r="20" spans="2:7" x14ac:dyDescent="0.2">
      <c r="B20" s="3" t="s">
        <v>120</v>
      </c>
      <c r="C20" s="99">
        <v>10</v>
      </c>
      <c r="D20" s="5" t="s">
        <v>21</v>
      </c>
      <c r="E20" s="102">
        <v>9</v>
      </c>
      <c r="F20" s="35">
        <f t="shared" si="0"/>
        <v>90</v>
      </c>
    </row>
    <row r="21" spans="2:7" x14ac:dyDescent="0.2">
      <c r="B21" t="s">
        <v>15</v>
      </c>
      <c r="C21" s="4">
        <v>1</v>
      </c>
      <c r="D21" s="4" t="s">
        <v>18</v>
      </c>
      <c r="E21" s="102">
        <v>75</v>
      </c>
      <c r="F21" s="35">
        <f t="shared" si="0"/>
        <v>75</v>
      </c>
      <c r="G21" s="2"/>
    </row>
    <row r="22" spans="2:7" x14ac:dyDescent="0.2">
      <c r="B22" s="3" t="s">
        <v>180</v>
      </c>
      <c r="C22" s="4">
        <v>1</v>
      </c>
      <c r="D22" s="4" t="s">
        <v>18</v>
      </c>
      <c r="E22" s="102">
        <v>125</v>
      </c>
      <c r="F22" s="35">
        <f t="shared" si="0"/>
        <v>125</v>
      </c>
      <c r="G22" s="2"/>
    </row>
    <row r="23" spans="2:7" x14ac:dyDescent="0.2">
      <c r="B23" s="3" t="s">
        <v>57</v>
      </c>
      <c r="C23" s="4">
        <v>1</v>
      </c>
      <c r="D23" s="5" t="s">
        <v>18</v>
      </c>
      <c r="E23" s="102">
        <v>382</v>
      </c>
      <c r="F23" s="35">
        <f t="shared" si="0"/>
        <v>382</v>
      </c>
      <c r="G23" s="2"/>
    </row>
    <row r="24" spans="2:7" x14ac:dyDescent="0.2">
      <c r="B24" t="s">
        <v>20</v>
      </c>
      <c r="C24" s="99">
        <v>8</v>
      </c>
      <c r="D24" s="5" t="s">
        <v>21</v>
      </c>
      <c r="E24" s="102">
        <v>7.5</v>
      </c>
      <c r="F24" s="35">
        <f t="shared" si="0"/>
        <v>60</v>
      </c>
      <c r="G24" s="2"/>
    </row>
    <row r="25" spans="2:7" x14ac:dyDescent="0.2">
      <c r="B25" t="s">
        <v>23</v>
      </c>
      <c r="C25" s="53">
        <v>1</v>
      </c>
      <c r="D25" s="53" t="s">
        <v>18</v>
      </c>
      <c r="E25" s="103">
        <v>71.48</v>
      </c>
      <c r="F25" s="54">
        <f>C25*E25</f>
        <v>71.48</v>
      </c>
      <c r="G25" s="2"/>
    </row>
    <row r="26" spans="2:7" x14ac:dyDescent="0.2">
      <c r="B26" s="1" t="s">
        <v>24</v>
      </c>
      <c r="E26" s="87"/>
      <c r="F26" s="39">
        <f>SUM(F17:F25)</f>
        <v>1663.48</v>
      </c>
    </row>
    <row r="27" spans="2:7" x14ac:dyDescent="0.2">
      <c r="C27" s="63"/>
      <c r="E27" s="87"/>
    </row>
    <row r="28" spans="2:7" x14ac:dyDescent="0.2">
      <c r="B28" s="1" t="s">
        <v>25</v>
      </c>
      <c r="E28" s="87"/>
    </row>
    <row r="29" spans="2:7" x14ac:dyDescent="0.2">
      <c r="B29" s="3" t="s">
        <v>181</v>
      </c>
      <c r="C29" s="4">
        <v>1</v>
      </c>
      <c r="D29" s="5" t="s">
        <v>18</v>
      </c>
      <c r="E29" s="102">
        <v>28.27</v>
      </c>
      <c r="F29" s="35">
        <f>C29*E29</f>
        <v>28.27</v>
      </c>
    </row>
    <row r="30" spans="2:7" x14ac:dyDescent="0.2">
      <c r="B30" s="1" t="s">
        <v>26</v>
      </c>
      <c r="C30" s="4">
        <f>C12</f>
        <v>425</v>
      </c>
      <c r="D30" s="5" t="s">
        <v>27</v>
      </c>
      <c r="E30" s="102">
        <v>1</v>
      </c>
      <c r="F30" s="35">
        <f>C30*E30</f>
        <v>425</v>
      </c>
    </row>
    <row r="31" spans="2:7" x14ac:dyDescent="0.2">
      <c r="B31" t="s">
        <v>28</v>
      </c>
      <c r="E31" s="72"/>
    </row>
    <row r="32" spans="2:7" x14ac:dyDescent="0.2">
      <c r="B32" s="3" t="s">
        <v>65</v>
      </c>
      <c r="C32" s="111">
        <v>40</v>
      </c>
      <c r="D32" s="5" t="s">
        <v>21</v>
      </c>
      <c r="E32" s="72">
        <v>9</v>
      </c>
      <c r="F32" s="35">
        <f>C32*E32</f>
        <v>360</v>
      </c>
      <c r="G32" s="2"/>
    </row>
    <row r="33" spans="2:7" x14ac:dyDescent="0.2">
      <c r="B33" s="3" t="s">
        <v>182</v>
      </c>
      <c r="C33" s="118">
        <v>1</v>
      </c>
      <c r="D33" s="5" t="s">
        <v>6</v>
      </c>
      <c r="E33" s="102">
        <f>C33*C12</f>
        <v>425</v>
      </c>
      <c r="F33" s="35">
        <f>C33*E33</f>
        <v>425</v>
      </c>
    </row>
    <row r="34" spans="2:7" x14ac:dyDescent="0.2">
      <c r="B34" t="s">
        <v>31</v>
      </c>
      <c r="C34" s="95">
        <v>0.1</v>
      </c>
      <c r="D34" s="4" t="s">
        <v>32</v>
      </c>
      <c r="E34" s="72"/>
      <c r="F34" s="35">
        <f>C34*F12</f>
        <v>730</v>
      </c>
    </row>
    <row r="35" spans="2:7" x14ac:dyDescent="0.2">
      <c r="C35" s="6"/>
      <c r="D35" s="6"/>
      <c r="E35" s="103"/>
      <c r="F35" s="38"/>
    </row>
    <row r="36" spans="2:7" x14ac:dyDescent="0.2">
      <c r="B36" s="1" t="s">
        <v>36</v>
      </c>
      <c r="F36" s="39">
        <f>SUM(F29:F35)</f>
        <v>1968.27</v>
      </c>
    </row>
    <row r="38" spans="2:7" x14ac:dyDescent="0.2">
      <c r="B38" s="3" t="s">
        <v>175</v>
      </c>
      <c r="F38" s="36">
        <f>(0.05*0.5*F26)+(0.05*0.25*F36)</f>
        <v>66.190375000000003</v>
      </c>
    </row>
    <row r="40" spans="2:7" x14ac:dyDescent="0.2">
      <c r="B40" s="1" t="s">
        <v>37</v>
      </c>
      <c r="C40" s="18"/>
      <c r="D40" s="18"/>
      <c r="E40" s="39"/>
      <c r="F40" s="39">
        <f>SUM(F26+F36+F38)</f>
        <v>3697.9403750000001</v>
      </c>
    </row>
    <row r="41" spans="2:7" ht="12.75" customHeight="1" x14ac:dyDescent="0.2"/>
    <row r="42" spans="2:7" x14ac:dyDescent="0.2">
      <c r="B42" s="13" t="s">
        <v>38</v>
      </c>
      <c r="C42" s="14"/>
      <c r="D42" s="14"/>
      <c r="E42" s="55"/>
      <c r="F42" s="119">
        <f>F12-F40</f>
        <v>3602.0596249999999</v>
      </c>
    </row>
    <row r="43" spans="2:7" x14ac:dyDescent="0.2">
      <c r="B43" s="9"/>
      <c r="C43" s="12"/>
      <c r="D43" s="12"/>
      <c r="E43" s="43"/>
      <c r="F43" s="40"/>
    </row>
    <row r="44" spans="2:7" x14ac:dyDescent="0.2">
      <c r="B44" s="23"/>
      <c r="C44" s="24"/>
      <c r="D44" s="24"/>
      <c r="E44" s="46"/>
      <c r="F44" s="46"/>
    </row>
    <row r="45" spans="2:7" x14ac:dyDescent="0.2">
      <c r="B45" s="1" t="s">
        <v>39</v>
      </c>
    </row>
    <row r="46" spans="2:7" x14ac:dyDescent="0.2">
      <c r="B46" t="s">
        <v>40</v>
      </c>
      <c r="F46" s="37">
        <f>81.36</f>
        <v>81.36</v>
      </c>
      <c r="G46" s="2"/>
    </row>
    <row r="47" spans="2:7" x14ac:dyDescent="0.2">
      <c r="B47" t="s">
        <v>41</v>
      </c>
      <c r="F47" s="37">
        <v>300</v>
      </c>
      <c r="G47" s="2"/>
    </row>
    <row r="48" spans="2:7" x14ac:dyDescent="0.2">
      <c r="B48" t="s">
        <v>42</v>
      </c>
      <c r="F48" s="37">
        <v>5</v>
      </c>
    </row>
    <row r="49" spans="2:6" x14ac:dyDescent="0.2">
      <c r="B49" t="s">
        <v>43</v>
      </c>
      <c r="C49" s="6"/>
      <c r="D49" s="6"/>
      <c r="E49" s="56"/>
      <c r="F49" s="54">
        <f>0.015*F11</f>
        <v>27</v>
      </c>
    </row>
    <row r="50" spans="2:6" x14ac:dyDescent="0.2">
      <c r="B50" s="1" t="s">
        <v>44</v>
      </c>
      <c r="F50" s="44">
        <f>SUM(F46:F49)</f>
        <v>413.36</v>
      </c>
    </row>
    <row r="52" spans="2:6" x14ac:dyDescent="0.2">
      <c r="B52" s="1" t="s">
        <v>45</v>
      </c>
      <c r="F52" s="39">
        <f>F40+F50</f>
        <v>4111.3003749999998</v>
      </c>
    </row>
    <row r="54" spans="2:6" x14ac:dyDescent="0.2">
      <c r="B54" s="13" t="s">
        <v>46</v>
      </c>
      <c r="C54" s="16"/>
      <c r="D54" s="16"/>
      <c r="E54" s="31"/>
      <c r="F54" s="119">
        <f>F12-F52</f>
        <v>3188.6996250000002</v>
      </c>
    </row>
    <row r="56" spans="2:6" x14ac:dyDescent="0.2">
      <c r="B56" t="s">
        <v>47</v>
      </c>
      <c r="C56" s="99">
        <v>20</v>
      </c>
      <c r="D56" s="5" t="s">
        <v>21</v>
      </c>
      <c r="E56" s="102">
        <v>15</v>
      </c>
      <c r="F56" s="35">
        <f>C56*E56</f>
        <v>300</v>
      </c>
    </row>
    <row r="58" spans="2:6" x14ac:dyDescent="0.2">
      <c r="B58" s="1" t="s">
        <v>48</v>
      </c>
      <c r="F58" s="39">
        <f>F54-F56</f>
        <v>2888.6996250000002</v>
      </c>
    </row>
    <row r="60" spans="2:6" ht="12.75" customHeight="1" x14ac:dyDescent="0.2">
      <c r="B60" s="23"/>
      <c r="C60" s="24"/>
      <c r="D60" s="24"/>
      <c r="E60" s="46"/>
      <c r="F60" s="46"/>
    </row>
    <row r="61" spans="2:6" ht="13.5" customHeight="1" x14ac:dyDescent="0.2">
      <c r="B61" s="2"/>
    </row>
    <row r="62" spans="2:6" x14ac:dyDescent="0.2">
      <c r="B62" s="175" t="s">
        <v>132</v>
      </c>
      <c r="C62" s="175"/>
      <c r="D62" s="175"/>
      <c r="E62" s="175"/>
      <c r="F62" s="175"/>
    </row>
    <row r="63" spans="2:6" x14ac:dyDescent="0.2">
      <c r="B63" s="2"/>
    </row>
    <row r="64" spans="2:6" x14ac:dyDescent="0.2">
      <c r="B64" s="2"/>
    </row>
    <row r="65" spans="2:2" x14ac:dyDescent="0.2">
      <c r="B65" s="2"/>
    </row>
    <row r="66" spans="2:2" x14ac:dyDescent="0.2">
      <c r="B66" s="2"/>
    </row>
    <row r="67" spans="2:2" x14ac:dyDescent="0.2">
      <c r="B67" s="2"/>
    </row>
  </sheetData>
  <sheetProtection password="CF0F" sheet="1" objects="1" scenarios="1"/>
  <mergeCells count="2">
    <mergeCell ref="E4:F6"/>
    <mergeCell ref="B62:F62"/>
  </mergeCells>
  <hyperlinks>
    <hyperlink ref="E4:F6" location="Contents" display="Return to Table of Contents"/>
  </hyperlinks>
  <pageMargins left="0.75" right="0.75" top="1" bottom="1" header="0.5" footer="0.5"/>
  <pageSetup scale="8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G69"/>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 min="7" max="7" width="9.140625" style="2" customWidth="1"/>
  </cols>
  <sheetData>
    <row r="2" spans="2:6" x14ac:dyDescent="0.2">
      <c r="B2" s="1" t="s">
        <v>154</v>
      </c>
    </row>
    <row r="3" spans="2:6" ht="13.5" thickBot="1" x14ac:dyDescent="0.25">
      <c r="B3" s="1" t="s">
        <v>194</v>
      </c>
    </row>
    <row r="4" spans="2:6" ht="13.15" customHeight="1" x14ac:dyDescent="0.2">
      <c r="B4" s="1"/>
      <c r="E4" s="176" t="s">
        <v>171</v>
      </c>
      <c r="F4" s="177"/>
    </row>
    <row r="5" spans="2:6" ht="13.15" customHeight="1" x14ac:dyDescent="0.2">
      <c r="B5" s="1"/>
      <c r="E5" s="178"/>
      <c r="F5" s="179"/>
    </row>
    <row r="6" spans="2:6" ht="13.9" customHeight="1" thickBot="1" x14ac:dyDescent="0.25">
      <c r="B6" s="1"/>
      <c r="E6" s="180"/>
      <c r="F6" s="181"/>
    </row>
    <row r="7" spans="2:6" x14ac:dyDescent="0.2">
      <c r="B7" s="1"/>
    </row>
    <row r="8" spans="2:6" x14ac:dyDescent="0.2">
      <c r="C8" s="16" t="s">
        <v>0</v>
      </c>
      <c r="D8" s="16" t="s">
        <v>1</v>
      </c>
      <c r="E8" s="31" t="s">
        <v>2</v>
      </c>
      <c r="F8" s="31" t="s">
        <v>3</v>
      </c>
    </row>
    <row r="9" spans="2:6" x14ac:dyDescent="0.2">
      <c r="B9" s="1" t="s">
        <v>4</v>
      </c>
    </row>
    <row r="10" spans="2:6" x14ac:dyDescent="0.2">
      <c r="B10" t="s">
        <v>119</v>
      </c>
      <c r="C10" s="99">
        <v>1600</v>
      </c>
      <c r="D10" s="4" t="s">
        <v>6</v>
      </c>
      <c r="E10" s="102">
        <v>10</v>
      </c>
      <c r="F10" s="35">
        <f>C10*E10</f>
        <v>16000</v>
      </c>
    </row>
    <row r="11" spans="2:6" x14ac:dyDescent="0.2">
      <c r="C11" s="83"/>
      <c r="E11" s="73"/>
    </row>
    <row r="12" spans="2:6" ht="12.75" customHeight="1" x14ac:dyDescent="0.2">
      <c r="B12" s="23"/>
      <c r="C12" s="91"/>
      <c r="D12" s="24"/>
      <c r="E12" s="82"/>
      <c r="F12" s="46"/>
    </row>
    <row r="13" spans="2:6" x14ac:dyDescent="0.2">
      <c r="B13" s="1" t="s">
        <v>7</v>
      </c>
      <c r="C13" s="83"/>
      <c r="E13" s="73"/>
    </row>
    <row r="14" spans="2:6" x14ac:dyDescent="0.2">
      <c r="B14" s="1" t="s">
        <v>131</v>
      </c>
      <c r="C14" s="83"/>
      <c r="E14" s="73"/>
    </row>
    <row r="15" spans="2:6" x14ac:dyDescent="0.2">
      <c r="B15" t="s">
        <v>73</v>
      </c>
      <c r="C15" s="99">
        <v>4.5</v>
      </c>
      <c r="D15" s="5" t="s">
        <v>74</v>
      </c>
      <c r="E15" s="102">
        <v>95</v>
      </c>
      <c r="F15" s="35">
        <f t="shared" ref="F15:F25" si="0">C15*E15</f>
        <v>427.5</v>
      </c>
    </row>
    <row r="16" spans="2:6" x14ac:dyDescent="0.2">
      <c r="B16" t="s">
        <v>9</v>
      </c>
      <c r="C16" s="99">
        <v>0.5</v>
      </c>
      <c r="D16" s="4" t="s">
        <v>10</v>
      </c>
      <c r="E16" s="102">
        <v>20</v>
      </c>
      <c r="F16" s="35">
        <f t="shared" si="0"/>
        <v>10</v>
      </c>
    </row>
    <row r="17" spans="2:7" x14ac:dyDescent="0.2">
      <c r="B17" t="s">
        <v>120</v>
      </c>
      <c r="C17" s="99">
        <v>15</v>
      </c>
      <c r="D17" s="4" t="s">
        <v>21</v>
      </c>
      <c r="E17" s="102">
        <v>9</v>
      </c>
      <c r="F17" s="35">
        <f t="shared" si="0"/>
        <v>135</v>
      </c>
    </row>
    <row r="18" spans="2:7" x14ac:dyDescent="0.2">
      <c r="B18" t="s">
        <v>121</v>
      </c>
      <c r="C18" s="99">
        <v>12</v>
      </c>
      <c r="D18" s="4" t="s">
        <v>55</v>
      </c>
      <c r="E18" s="102">
        <v>28</v>
      </c>
      <c r="F18" s="35">
        <f t="shared" si="0"/>
        <v>336</v>
      </c>
    </row>
    <row r="19" spans="2:7" x14ac:dyDescent="0.2">
      <c r="B19" t="s">
        <v>122</v>
      </c>
      <c r="C19" s="99">
        <v>2</v>
      </c>
      <c r="D19" s="4" t="s">
        <v>55</v>
      </c>
      <c r="E19" s="102">
        <v>50</v>
      </c>
      <c r="F19" s="35">
        <f t="shared" si="0"/>
        <v>100</v>
      </c>
    </row>
    <row r="20" spans="2:7" x14ac:dyDescent="0.2">
      <c r="B20" t="s">
        <v>123</v>
      </c>
      <c r="C20" s="99">
        <v>30</v>
      </c>
      <c r="D20" s="4" t="s">
        <v>12</v>
      </c>
      <c r="E20" s="102">
        <v>0.5</v>
      </c>
      <c r="F20" s="35">
        <f t="shared" si="0"/>
        <v>15</v>
      </c>
    </row>
    <row r="21" spans="2:7" x14ac:dyDescent="0.2">
      <c r="B21" t="s">
        <v>57</v>
      </c>
      <c r="C21" s="4">
        <v>1</v>
      </c>
      <c r="D21" s="4" t="s">
        <v>18</v>
      </c>
      <c r="E21" s="102">
        <v>382</v>
      </c>
      <c r="F21" s="35">
        <f t="shared" si="0"/>
        <v>382</v>
      </c>
    </row>
    <row r="22" spans="2:7" x14ac:dyDescent="0.2">
      <c r="B22" t="s">
        <v>124</v>
      </c>
      <c r="C22" s="4">
        <v>1</v>
      </c>
      <c r="D22" s="4" t="s">
        <v>18</v>
      </c>
      <c r="E22" s="102">
        <v>120</v>
      </c>
      <c r="F22" s="35">
        <f t="shared" si="0"/>
        <v>120</v>
      </c>
      <c r="G22" s="2" t="s">
        <v>129</v>
      </c>
    </row>
    <row r="23" spans="2:7" x14ac:dyDescent="0.2">
      <c r="B23" t="s">
        <v>125</v>
      </c>
      <c r="C23" s="4">
        <v>1</v>
      </c>
      <c r="D23" s="4" t="s">
        <v>18</v>
      </c>
      <c r="E23" s="102">
        <f>46.25</f>
        <v>46.25</v>
      </c>
      <c r="F23" s="35">
        <f t="shared" si="0"/>
        <v>46.25</v>
      </c>
    </row>
    <row r="24" spans="2:7" x14ac:dyDescent="0.2">
      <c r="B24" t="s">
        <v>17</v>
      </c>
      <c r="C24" s="4">
        <v>1</v>
      </c>
      <c r="D24" s="4" t="s">
        <v>18</v>
      </c>
      <c r="E24" s="102">
        <v>139.94</v>
      </c>
      <c r="F24" s="35">
        <f t="shared" si="0"/>
        <v>139.94</v>
      </c>
    </row>
    <row r="25" spans="2:7" x14ac:dyDescent="0.2">
      <c r="B25" t="s">
        <v>59</v>
      </c>
      <c r="C25" s="4">
        <v>1</v>
      </c>
      <c r="D25" s="4" t="s">
        <v>18</v>
      </c>
      <c r="E25" s="102">
        <v>131.21</v>
      </c>
      <c r="F25" s="35">
        <f t="shared" si="0"/>
        <v>131.21</v>
      </c>
    </row>
    <row r="26" spans="2:7" x14ac:dyDescent="0.2">
      <c r="B26" t="s">
        <v>20</v>
      </c>
      <c r="C26" s="99">
        <v>90</v>
      </c>
      <c r="D26" s="5" t="s">
        <v>21</v>
      </c>
      <c r="E26" s="102">
        <v>0.4</v>
      </c>
      <c r="F26" s="35">
        <f>C26*E26</f>
        <v>36</v>
      </c>
    </row>
    <row r="27" spans="2:7" x14ac:dyDescent="0.2">
      <c r="B27" t="s">
        <v>23</v>
      </c>
      <c r="C27" s="53">
        <v>1</v>
      </c>
      <c r="D27" s="6" t="s">
        <v>18</v>
      </c>
      <c r="E27" s="103">
        <f>85.35</f>
        <v>85.35</v>
      </c>
      <c r="F27" s="38">
        <f>C27*E27</f>
        <v>85.35</v>
      </c>
    </row>
    <row r="28" spans="2:7" x14ac:dyDescent="0.2">
      <c r="B28" s="1" t="s">
        <v>24</v>
      </c>
      <c r="F28" s="39">
        <f>SUM(F15:F27)</f>
        <v>1964.25</v>
      </c>
    </row>
    <row r="30" spans="2:7" x14ac:dyDescent="0.2">
      <c r="B30" s="1" t="s">
        <v>25</v>
      </c>
    </row>
    <row r="31" spans="2:7" x14ac:dyDescent="0.2">
      <c r="B31" t="s">
        <v>26</v>
      </c>
      <c r="C31" s="4">
        <f>C10</f>
        <v>1600</v>
      </c>
      <c r="D31" s="4" t="s">
        <v>27</v>
      </c>
      <c r="E31" s="102">
        <v>1.1000000000000001</v>
      </c>
      <c r="F31" s="35">
        <f>C31*E31</f>
        <v>1760.0000000000002</v>
      </c>
    </row>
    <row r="32" spans="2:7" x14ac:dyDescent="0.2">
      <c r="B32" t="s">
        <v>126</v>
      </c>
      <c r="C32" s="4">
        <v>50</v>
      </c>
      <c r="D32" s="4" t="s">
        <v>127</v>
      </c>
      <c r="E32" s="102">
        <v>2.2999999999999998</v>
      </c>
      <c r="F32" s="35">
        <f>C32*E32</f>
        <v>114.99999999999999</v>
      </c>
    </row>
    <row r="33" spans="2:6" x14ac:dyDescent="0.2">
      <c r="B33" t="s">
        <v>62</v>
      </c>
      <c r="C33" s="99">
        <v>18</v>
      </c>
      <c r="D33" s="4" t="s">
        <v>21</v>
      </c>
      <c r="E33" s="102">
        <v>8.5</v>
      </c>
      <c r="F33" s="35">
        <f>C33*E33</f>
        <v>153</v>
      </c>
    </row>
    <row r="34" spans="2:6" x14ac:dyDescent="0.2">
      <c r="B34" t="s">
        <v>63</v>
      </c>
      <c r="C34" s="4">
        <v>1</v>
      </c>
      <c r="D34" s="4" t="s">
        <v>64</v>
      </c>
      <c r="E34" s="102">
        <v>10</v>
      </c>
      <c r="F34" s="35">
        <f>C34*E34</f>
        <v>10</v>
      </c>
    </row>
    <row r="35" spans="2:6" x14ac:dyDescent="0.2">
      <c r="B35" t="s">
        <v>28</v>
      </c>
      <c r="E35" s="72"/>
    </row>
    <row r="36" spans="2:6" x14ac:dyDescent="0.2">
      <c r="B36" t="s">
        <v>65</v>
      </c>
      <c r="C36" s="109">
        <v>1.8</v>
      </c>
      <c r="D36" s="4" t="s">
        <v>6</v>
      </c>
      <c r="E36" s="72"/>
      <c r="F36" s="35">
        <f>C10*C36</f>
        <v>2880</v>
      </c>
    </row>
    <row r="37" spans="2:6" x14ac:dyDescent="0.2">
      <c r="B37" t="s">
        <v>128</v>
      </c>
      <c r="C37" s="109">
        <v>0.75</v>
      </c>
      <c r="D37" s="4" t="s">
        <v>6</v>
      </c>
      <c r="E37" s="72"/>
      <c r="F37" s="35">
        <f>C10*C37</f>
        <v>1200</v>
      </c>
    </row>
    <row r="38" spans="2:6" x14ac:dyDescent="0.2">
      <c r="B38" t="s">
        <v>67</v>
      </c>
      <c r="C38" s="95">
        <v>0.1</v>
      </c>
      <c r="D38" s="4" t="s">
        <v>32</v>
      </c>
      <c r="E38" s="72"/>
      <c r="F38" s="35">
        <f>C38*F10</f>
        <v>1600</v>
      </c>
    </row>
    <row r="39" spans="2:6" x14ac:dyDescent="0.2">
      <c r="B39" t="s">
        <v>35</v>
      </c>
      <c r="C39" s="6">
        <f>C10</f>
        <v>1600</v>
      </c>
      <c r="D39" s="6" t="s">
        <v>27</v>
      </c>
      <c r="E39" s="103">
        <v>7.0000000000000007E-2</v>
      </c>
      <c r="F39" s="38">
        <f>C39*E39</f>
        <v>112.00000000000001</v>
      </c>
    </row>
    <row r="40" spans="2:6" x14ac:dyDescent="0.2">
      <c r="B40" s="1" t="s">
        <v>36</v>
      </c>
      <c r="F40" s="39">
        <f>SUM(F31:F39)</f>
        <v>7830</v>
      </c>
    </row>
    <row r="42" spans="2:6" x14ac:dyDescent="0.2">
      <c r="B42" s="3" t="s">
        <v>175</v>
      </c>
      <c r="F42" s="36">
        <f>(0.05*0.5*F28)+(0.05*0.25*F40)</f>
        <v>146.98124999999999</v>
      </c>
    </row>
    <row r="44" spans="2:6" x14ac:dyDescent="0.2">
      <c r="B44" s="1" t="s">
        <v>37</v>
      </c>
      <c r="C44" s="18"/>
      <c r="D44" s="18"/>
      <c r="E44" s="39"/>
      <c r="F44" s="39">
        <f>SUM(F28+F40+F42)</f>
        <v>9941.2312500000007</v>
      </c>
    </row>
    <row r="46" spans="2:6" x14ac:dyDescent="0.2">
      <c r="B46" s="13" t="s">
        <v>38</v>
      </c>
      <c r="C46" s="14"/>
      <c r="D46" s="14"/>
      <c r="E46" s="55"/>
      <c r="F46" s="31">
        <f>F10-F44</f>
        <v>6058.7687499999993</v>
      </c>
    </row>
    <row r="48" spans="2:6" ht="12.75" customHeight="1" x14ac:dyDescent="0.2">
      <c r="B48" s="23"/>
      <c r="C48" s="24"/>
      <c r="D48" s="24"/>
      <c r="E48" s="46"/>
      <c r="F48" s="46"/>
    </row>
    <row r="49" spans="1:7" x14ac:dyDescent="0.2">
      <c r="B49" s="1" t="s">
        <v>39</v>
      </c>
    </row>
    <row r="50" spans="1:7" x14ac:dyDescent="0.2">
      <c r="B50" t="s">
        <v>40</v>
      </c>
      <c r="F50" s="37">
        <f>203.49</f>
        <v>203.49</v>
      </c>
    </row>
    <row r="51" spans="1:7" x14ac:dyDescent="0.2">
      <c r="B51" t="s">
        <v>41</v>
      </c>
      <c r="F51" s="37">
        <v>189.57</v>
      </c>
      <c r="G51" s="2" t="s">
        <v>130</v>
      </c>
    </row>
    <row r="52" spans="1:7" x14ac:dyDescent="0.2">
      <c r="B52" t="s">
        <v>42</v>
      </c>
      <c r="F52" s="37">
        <v>5</v>
      </c>
    </row>
    <row r="53" spans="1:7" x14ac:dyDescent="0.2">
      <c r="B53" t="s">
        <v>43</v>
      </c>
      <c r="C53" s="6"/>
      <c r="D53" s="6"/>
      <c r="E53" s="56"/>
      <c r="F53" s="54">
        <f>0.005*F10</f>
        <v>80</v>
      </c>
    </row>
    <row r="54" spans="1:7" x14ac:dyDescent="0.2">
      <c r="B54" s="1" t="s">
        <v>44</v>
      </c>
      <c r="F54" s="44">
        <f>SUM(F50:F53)</f>
        <v>478.06</v>
      </c>
    </row>
    <row r="56" spans="1:7" x14ac:dyDescent="0.2">
      <c r="B56" s="1" t="s">
        <v>45</v>
      </c>
      <c r="F56" s="39">
        <f>F44+F54</f>
        <v>10419.29125</v>
      </c>
    </row>
    <row r="58" spans="1:7" x14ac:dyDescent="0.2">
      <c r="B58" s="13" t="s">
        <v>46</v>
      </c>
      <c r="C58" s="16"/>
      <c r="D58" s="16"/>
      <c r="E58" s="31"/>
      <c r="F58" s="31">
        <f>F10-F56</f>
        <v>5580.7087499999998</v>
      </c>
    </row>
    <row r="59" spans="1:7" x14ac:dyDescent="0.2">
      <c r="C59" s="83"/>
    </row>
    <row r="60" spans="1:7" x14ac:dyDescent="0.2">
      <c r="B60" t="s">
        <v>47</v>
      </c>
      <c r="C60" s="99">
        <v>220</v>
      </c>
      <c r="D60" s="5" t="s">
        <v>21</v>
      </c>
      <c r="E60" s="102">
        <v>15</v>
      </c>
      <c r="F60" s="35">
        <f>C60*E60</f>
        <v>3300</v>
      </c>
    </row>
    <row r="62" spans="1:7" x14ac:dyDescent="0.2">
      <c r="B62" s="13" t="s">
        <v>48</v>
      </c>
      <c r="C62" s="14"/>
      <c r="D62" s="14"/>
      <c r="E62" s="55"/>
      <c r="F62" s="31">
        <f>F58-F60</f>
        <v>2280.7087499999998</v>
      </c>
    </row>
    <row r="64" spans="1:7" s="2" customFormat="1" ht="12" x14ac:dyDescent="0.2">
      <c r="A64" s="66" t="s">
        <v>129</v>
      </c>
      <c r="B64" s="2" t="s">
        <v>143</v>
      </c>
      <c r="C64" s="66"/>
      <c r="D64" s="66"/>
      <c r="E64" s="67"/>
      <c r="F64" s="67"/>
    </row>
    <row r="65" spans="1:6" s="2" customFormat="1" ht="12" x14ac:dyDescent="0.2">
      <c r="A65" s="66" t="s">
        <v>130</v>
      </c>
      <c r="B65" s="2" t="s">
        <v>173</v>
      </c>
      <c r="C65" s="66"/>
      <c r="D65" s="66"/>
      <c r="E65" s="67"/>
      <c r="F65" s="67"/>
    </row>
    <row r="66" spans="1:6" x14ac:dyDescent="0.2">
      <c r="B66" s="2"/>
    </row>
    <row r="67" spans="1:6" x14ac:dyDescent="0.2">
      <c r="B67" s="65"/>
      <c r="C67" s="24"/>
      <c r="D67" s="24"/>
      <c r="E67" s="46"/>
      <c r="F67" s="46"/>
    </row>
    <row r="68" spans="1:6" x14ac:dyDescent="0.2">
      <c r="B68" s="2"/>
    </row>
    <row r="69" spans="1:6" x14ac:dyDescent="0.2">
      <c r="B69" s="175" t="s">
        <v>132</v>
      </c>
      <c r="C69" s="175"/>
      <c r="D69" s="175"/>
      <c r="E69" s="175"/>
      <c r="F69" s="175"/>
    </row>
  </sheetData>
  <sheetProtection password="CF0F" sheet="1" objects="1" scenarios="1"/>
  <mergeCells count="2">
    <mergeCell ref="B69:F69"/>
    <mergeCell ref="E4:F6"/>
  </mergeCells>
  <hyperlinks>
    <hyperlink ref="E4:F6" location="Contents" display="Return to Table of Contents"/>
  </hyperlinks>
  <pageMargins left="0.75" right="0.75" top="1" bottom="1" header="0.5" footer="0.5"/>
  <pageSetup scale="72"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G66"/>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144</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1" t="s">
        <v>2</v>
      </c>
      <c r="F8" s="31" t="s">
        <v>3</v>
      </c>
    </row>
    <row r="9" spans="2:7" x14ac:dyDescent="0.2">
      <c r="B9" s="1" t="s">
        <v>4</v>
      </c>
    </row>
    <row r="10" spans="2:7" x14ac:dyDescent="0.2">
      <c r="B10" t="s">
        <v>111</v>
      </c>
      <c r="C10" s="99">
        <v>400</v>
      </c>
      <c r="D10" s="4" t="s">
        <v>55</v>
      </c>
      <c r="E10" s="102">
        <v>9.5</v>
      </c>
      <c r="F10" s="35">
        <f>C10*E10</f>
        <v>3800</v>
      </c>
      <c r="G10" s="2"/>
    </row>
    <row r="11" spans="2:7" x14ac:dyDescent="0.2">
      <c r="C11" s="83"/>
      <c r="E11" s="73"/>
    </row>
    <row r="12" spans="2:7" ht="12.75" customHeight="1" x14ac:dyDescent="0.2">
      <c r="B12" s="23"/>
      <c r="C12" s="91"/>
      <c r="D12" s="24"/>
      <c r="E12" s="82"/>
      <c r="F12" s="46"/>
    </row>
    <row r="13" spans="2:7" x14ac:dyDescent="0.2">
      <c r="B13" s="1" t="s">
        <v>7</v>
      </c>
      <c r="C13" s="83"/>
      <c r="E13" s="73"/>
    </row>
    <row r="14" spans="2:7" x14ac:dyDescent="0.2">
      <c r="B14" s="1" t="s">
        <v>131</v>
      </c>
      <c r="C14" s="83"/>
      <c r="E14" s="73"/>
    </row>
    <row r="15" spans="2:7" x14ac:dyDescent="0.2">
      <c r="B15" t="s">
        <v>73</v>
      </c>
      <c r="C15" s="99">
        <v>800</v>
      </c>
      <c r="D15" s="4" t="s">
        <v>112</v>
      </c>
      <c r="E15" s="102">
        <v>0.11</v>
      </c>
      <c r="F15" s="35">
        <f>C15*E15</f>
        <v>88</v>
      </c>
    </row>
    <row r="16" spans="2:7" x14ac:dyDescent="0.2">
      <c r="B16" t="s">
        <v>9</v>
      </c>
      <c r="C16" s="99">
        <v>0.5</v>
      </c>
      <c r="D16" s="4" t="s">
        <v>10</v>
      </c>
      <c r="E16" s="102">
        <v>20</v>
      </c>
      <c r="F16" s="35">
        <f>C16*E16</f>
        <v>10</v>
      </c>
    </row>
    <row r="17" spans="2:7" x14ac:dyDescent="0.2">
      <c r="B17" t="s">
        <v>54</v>
      </c>
      <c r="C17" s="99">
        <v>10</v>
      </c>
      <c r="D17" s="4" t="s">
        <v>55</v>
      </c>
      <c r="E17" s="102">
        <v>28</v>
      </c>
      <c r="F17" s="35">
        <f>C17*E17</f>
        <v>280</v>
      </c>
    </row>
    <row r="18" spans="2:7" x14ac:dyDescent="0.2">
      <c r="B18" t="s">
        <v>56</v>
      </c>
      <c r="C18" s="99">
        <v>1.2</v>
      </c>
      <c r="D18" s="4" t="s">
        <v>55</v>
      </c>
      <c r="E18" s="102">
        <v>50</v>
      </c>
      <c r="F18" s="35">
        <f>C18*E18</f>
        <v>60</v>
      </c>
    </row>
    <row r="19" spans="2:7" x14ac:dyDescent="0.2">
      <c r="B19" t="s">
        <v>57</v>
      </c>
      <c r="C19" s="4">
        <v>1</v>
      </c>
      <c r="D19" s="4" t="s">
        <v>18</v>
      </c>
      <c r="E19" s="102">
        <v>382</v>
      </c>
      <c r="F19" s="35">
        <f>C19*E19</f>
        <v>382</v>
      </c>
      <c r="G19" s="2"/>
    </row>
    <row r="20" spans="2:7" x14ac:dyDescent="0.2">
      <c r="B20" t="s">
        <v>113</v>
      </c>
      <c r="C20" s="4">
        <v>1</v>
      </c>
      <c r="D20" s="4" t="s">
        <v>18</v>
      </c>
      <c r="E20" s="72"/>
      <c r="F20" s="102">
        <v>39.869999999999997</v>
      </c>
      <c r="G20" s="2"/>
    </row>
    <row r="21" spans="2:7" x14ac:dyDescent="0.2">
      <c r="B21" t="s">
        <v>114</v>
      </c>
      <c r="C21" s="4">
        <v>1</v>
      </c>
      <c r="D21" s="4" t="s">
        <v>18</v>
      </c>
      <c r="E21" s="72"/>
      <c r="F21" s="104">
        <f>136.3</f>
        <v>136.30000000000001</v>
      </c>
      <c r="G21" s="2"/>
    </row>
    <row r="22" spans="2:7" x14ac:dyDescent="0.2">
      <c r="B22" t="s">
        <v>59</v>
      </c>
      <c r="C22" s="4">
        <v>1</v>
      </c>
      <c r="D22" s="4" t="s">
        <v>18</v>
      </c>
      <c r="E22" s="72"/>
      <c r="F22" s="104">
        <f>117.77</f>
        <v>117.77</v>
      </c>
      <c r="G22" s="2"/>
    </row>
    <row r="23" spans="2:7" x14ac:dyDescent="0.2">
      <c r="B23" t="s">
        <v>60</v>
      </c>
      <c r="C23" s="99">
        <v>1</v>
      </c>
      <c r="D23" s="4" t="s">
        <v>61</v>
      </c>
      <c r="E23" s="102">
        <v>75</v>
      </c>
      <c r="F23" s="35">
        <f>C23*E23</f>
        <v>75</v>
      </c>
    </row>
    <row r="24" spans="2:7" x14ac:dyDescent="0.2">
      <c r="B24" t="s">
        <v>20</v>
      </c>
      <c r="C24" s="99">
        <v>90</v>
      </c>
      <c r="D24" s="5" t="s">
        <v>21</v>
      </c>
      <c r="E24" s="102">
        <v>0.4</v>
      </c>
      <c r="F24" s="35">
        <f>C24*E24</f>
        <v>36</v>
      </c>
      <c r="G24" s="2"/>
    </row>
    <row r="25" spans="2:7" x14ac:dyDescent="0.2">
      <c r="B25" t="s">
        <v>77</v>
      </c>
      <c r="C25" s="99">
        <v>16</v>
      </c>
      <c r="D25" s="5" t="s">
        <v>21</v>
      </c>
      <c r="E25" s="102">
        <v>9</v>
      </c>
      <c r="F25" s="35">
        <f>C25*E25</f>
        <v>144</v>
      </c>
      <c r="G25" s="2"/>
    </row>
    <row r="26" spans="2:7" x14ac:dyDescent="0.2">
      <c r="B26" t="s">
        <v>23</v>
      </c>
      <c r="C26" s="53">
        <v>1</v>
      </c>
      <c r="D26" s="6" t="s">
        <v>18</v>
      </c>
      <c r="E26" s="103">
        <f>70.07</f>
        <v>70.069999999999993</v>
      </c>
      <c r="F26" s="38">
        <f>C26*E26</f>
        <v>70.069999999999993</v>
      </c>
      <c r="G26" s="2"/>
    </row>
    <row r="27" spans="2:7" x14ac:dyDescent="0.2">
      <c r="B27" s="1" t="s">
        <v>24</v>
      </c>
      <c r="E27" s="73"/>
      <c r="F27" s="39">
        <f>SUM(F15:F26)</f>
        <v>1439.01</v>
      </c>
    </row>
    <row r="28" spans="2:7" x14ac:dyDescent="0.2">
      <c r="E28" s="73"/>
    </row>
    <row r="29" spans="2:7" x14ac:dyDescent="0.2">
      <c r="B29" s="1" t="s">
        <v>25</v>
      </c>
      <c r="E29" s="73"/>
    </row>
    <row r="30" spans="2:7" x14ac:dyDescent="0.2">
      <c r="B30" t="s">
        <v>62</v>
      </c>
      <c r="C30" s="71">
        <v>18</v>
      </c>
      <c r="D30" s="4" t="s">
        <v>21</v>
      </c>
      <c r="E30" s="102">
        <v>9</v>
      </c>
      <c r="F30" s="35">
        <f>C30*E30</f>
        <v>162</v>
      </c>
    </row>
    <row r="31" spans="2:7" x14ac:dyDescent="0.2">
      <c r="B31" t="s">
        <v>63</v>
      </c>
      <c r="C31" s="4">
        <v>1</v>
      </c>
      <c r="D31" s="4" t="s">
        <v>64</v>
      </c>
      <c r="E31" s="112">
        <v>10</v>
      </c>
      <c r="F31" s="35">
        <f>C31*E31</f>
        <v>10</v>
      </c>
    </row>
    <row r="32" spans="2:7" x14ac:dyDescent="0.2">
      <c r="B32" t="s">
        <v>28</v>
      </c>
      <c r="E32" s="72"/>
    </row>
    <row r="33" spans="2:7" x14ac:dyDescent="0.2">
      <c r="B33" t="s">
        <v>115</v>
      </c>
      <c r="C33" s="89">
        <v>2</v>
      </c>
      <c r="D33" s="4" t="s">
        <v>55</v>
      </c>
      <c r="E33" s="72"/>
      <c r="F33" s="35">
        <f>C10*C33</f>
        <v>800</v>
      </c>
      <c r="G33" s="2"/>
    </row>
    <row r="34" spans="2:7" x14ac:dyDescent="0.2">
      <c r="B34" t="s">
        <v>31</v>
      </c>
      <c r="C34" s="17">
        <v>0.1</v>
      </c>
      <c r="D34" s="4" t="s">
        <v>32</v>
      </c>
      <c r="E34" s="72"/>
      <c r="F34" s="35">
        <f>C34*F10</f>
        <v>380</v>
      </c>
    </row>
    <row r="35" spans="2:7" x14ac:dyDescent="0.2">
      <c r="B35" t="s">
        <v>35</v>
      </c>
      <c r="C35" s="6">
        <f>C10</f>
        <v>400</v>
      </c>
      <c r="D35" s="6" t="s">
        <v>55</v>
      </c>
      <c r="E35" s="103">
        <v>0.2</v>
      </c>
      <c r="F35" s="38">
        <f>C35*E35</f>
        <v>80</v>
      </c>
      <c r="G35" s="2"/>
    </row>
    <row r="36" spans="2:7" x14ac:dyDescent="0.2">
      <c r="B36" s="1" t="s">
        <v>36</v>
      </c>
      <c r="F36" s="39">
        <f>SUM(F30:F35)</f>
        <v>1432</v>
      </c>
    </row>
    <row r="38" spans="2:7" x14ac:dyDescent="0.2">
      <c r="B38" s="3" t="s">
        <v>175</v>
      </c>
      <c r="F38" s="36">
        <f>(0.05*0.5*F27)+(0.05*0.25*F36)</f>
        <v>53.875250000000008</v>
      </c>
    </row>
    <row r="40" spans="2:7" x14ac:dyDescent="0.2">
      <c r="B40" s="1" t="s">
        <v>37</v>
      </c>
      <c r="C40" s="18"/>
      <c r="D40" s="18"/>
      <c r="E40" s="39"/>
      <c r="F40" s="39">
        <f>SUM(F27+F36+F38)</f>
        <v>2924.8852500000003</v>
      </c>
    </row>
    <row r="42" spans="2:7" x14ac:dyDescent="0.2">
      <c r="B42" s="13" t="s">
        <v>38</v>
      </c>
      <c r="C42" s="14"/>
      <c r="D42" s="14"/>
      <c r="E42" s="55"/>
      <c r="F42" s="31">
        <f>F10-F40</f>
        <v>875.11474999999973</v>
      </c>
    </row>
    <row r="44" spans="2:7" ht="12.75" customHeight="1" x14ac:dyDescent="0.2">
      <c r="B44" s="23"/>
      <c r="C44" s="24"/>
      <c r="D44" s="24"/>
      <c r="E44" s="46"/>
      <c r="F44" s="46"/>
    </row>
    <row r="45" spans="2:7" x14ac:dyDescent="0.2">
      <c r="B45" s="1" t="s">
        <v>39</v>
      </c>
    </row>
    <row r="46" spans="2:7" x14ac:dyDescent="0.2">
      <c r="B46" t="s">
        <v>40</v>
      </c>
      <c r="F46" s="37">
        <f>110.7</f>
        <v>110.7</v>
      </c>
      <c r="G46" s="2"/>
    </row>
    <row r="47" spans="2:7" x14ac:dyDescent="0.2">
      <c r="B47" t="s">
        <v>41</v>
      </c>
      <c r="F47" s="37">
        <v>189.57</v>
      </c>
    </row>
    <row r="48" spans="2:7" x14ac:dyDescent="0.2">
      <c r="B48" t="s">
        <v>42</v>
      </c>
      <c r="F48" s="37">
        <v>5</v>
      </c>
    </row>
    <row r="49" spans="2:6" x14ac:dyDescent="0.2">
      <c r="B49" t="s">
        <v>43</v>
      </c>
      <c r="C49" s="6"/>
      <c r="D49" s="6"/>
      <c r="E49" s="56"/>
      <c r="F49" s="54">
        <v>35</v>
      </c>
    </row>
    <row r="50" spans="2:6" x14ac:dyDescent="0.2">
      <c r="B50" s="1" t="s">
        <v>44</v>
      </c>
      <c r="F50" s="44">
        <f>SUM(F46:F49)</f>
        <v>340.27</v>
      </c>
    </row>
    <row r="52" spans="2:6" x14ac:dyDescent="0.2">
      <c r="B52" s="1" t="s">
        <v>45</v>
      </c>
      <c r="F52" s="39">
        <f>F40+F50</f>
        <v>3265.1552500000003</v>
      </c>
    </row>
    <row r="54" spans="2:6" x14ac:dyDescent="0.2">
      <c r="B54" s="13" t="s">
        <v>46</v>
      </c>
      <c r="C54" s="16"/>
      <c r="D54" s="16"/>
      <c r="E54" s="31"/>
      <c r="F54" s="31">
        <f>F10-F52</f>
        <v>534.84474999999975</v>
      </c>
    </row>
    <row r="56" spans="2:6" x14ac:dyDescent="0.2">
      <c r="B56" t="s">
        <v>47</v>
      </c>
      <c r="C56" s="99">
        <v>30</v>
      </c>
      <c r="D56" s="5" t="s">
        <v>21</v>
      </c>
      <c r="E56" s="102">
        <v>15</v>
      </c>
      <c r="F56" s="35">
        <f>C56*E56</f>
        <v>450</v>
      </c>
    </row>
    <row r="58" spans="2:6" x14ac:dyDescent="0.2">
      <c r="B58" s="13" t="s">
        <v>48</v>
      </c>
      <c r="C58" s="14"/>
      <c r="D58" s="14"/>
      <c r="E58" s="55"/>
      <c r="F58" s="31">
        <f>F54-F56</f>
        <v>84.844749999999749</v>
      </c>
    </row>
    <row r="60" spans="2:6" ht="12.75" customHeight="1" x14ac:dyDescent="0.2">
      <c r="B60" s="23"/>
      <c r="C60" s="24"/>
      <c r="D60" s="24"/>
      <c r="E60" s="46"/>
      <c r="F60" s="46"/>
    </row>
    <row r="61" spans="2:6" x14ac:dyDescent="0.2">
      <c r="B61" s="2"/>
    </row>
    <row r="62" spans="2:6" x14ac:dyDescent="0.2">
      <c r="B62" s="189" t="s">
        <v>132</v>
      </c>
      <c r="C62" s="189"/>
      <c r="D62" s="189"/>
      <c r="E62" s="189"/>
      <c r="F62" s="189"/>
    </row>
    <row r="63" spans="2:6" x14ac:dyDescent="0.2">
      <c r="B63" s="2"/>
    </row>
    <row r="64" spans="2:6" x14ac:dyDescent="0.2">
      <c r="B64" s="2"/>
    </row>
    <row r="65" spans="2:2" x14ac:dyDescent="0.2">
      <c r="B65" s="2"/>
    </row>
    <row r="66" spans="2:2" x14ac:dyDescent="0.2">
      <c r="B66" s="2"/>
    </row>
  </sheetData>
  <sheetProtection password="CF0F" sheet="1" objects="1" scenarios="1"/>
  <mergeCells count="2">
    <mergeCell ref="B62:F62"/>
    <mergeCell ref="E4:F6"/>
  </mergeCells>
  <hyperlinks>
    <hyperlink ref="E4:F6" location="Contents" display="Return to Table of Contents"/>
  </hyperlinks>
  <pageMargins left="0.75" right="0.75" top="1" bottom="1" header="0.5" footer="0.5"/>
  <pageSetup scale="81"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G70"/>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145</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1" t="s">
        <v>2</v>
      </c>
      <c r="F8" s="31" t="s">
        <v>3</v>
      </c>
    </row>
    <row r="10" spans="2:7" x14ac:dyDescent="0.2">
      <c r="B10" s="1" t="s">
        <v>4</v>
      </c>
      <c r="C10" s="99">
        <v>450</v>
      </c>
      <c r="D10" s="4" t="s">
        <v>55</v>
      </c>
    </row>
    <row r="11" spans="2:7" x14ac:dyDescent="0.2">
      <c r="B11" t="s">
        <v>116</v>
      </c>
      <c r="C11" s="5">
        <f>C10*0.67</f>
        <v>301.5</v>
      </c>
      <c r="D11" s="4" t="s">
        <v>55</v>
      </c>
      <c r="E11" s="102">
        <v>11</v>
      </c>
      <c r="F11" s="35">
        <f>C11*E11</f>
        <v>3316.5</v>
      </c>
      <c r="G11" s="2"/>
    </row>
    <row r="12" spans="2:7" x14ac:dyDescent="0.2">
      <c r="B12" t="s">
        <v>111</v>
      </c>
      <c r="C12" s="53">
        <f>C10*0.33</f>
        <v>148.5</v>
      </c>
      <c r="D12" s="6" t="s">
        <v>55</v>
      </c>
      <c r="E12" s="103">
        <v>9.5</v>
      </c>
      <c r="F12" s="38">
        <f>C12*E12</f>
        <v>1410.75</v>
      </c>
    </row>
    <row r="13" spans="2:7" ht="15" customHeight="1" x14ac:dyDescent="0.2">
      <c r="B13" s="1" t="s">
        <v>146</v>
      </c>
      <c r="D13" s="5"/>
      <c r="F13" s="39">
        <f>SUM(F11:F12)</f>
        <v>4727.25</v>
      </c>
    </row>
    <row r="14" spans="2:7" ht="15" customHeight="1" x14ac:dyDescent="0.2">
      <c r="F14" s="39"/>
    </row>
    <row r="15" spans="2:7" x14ac:dyDescent="0.2">
      <c r="B15" s="23"/>
      <c r="C15" s="24"/>
      <c r="D15" s="24"/>
      <c r="E15" s="46"/>
      <c r="F15" s="46"/>
    </row>
    <row r="16" spans="2:7" x14ac:dyDescent="0.2">
      <c r="B16" s="1" t="s">
        <v>7</v>
      </c>
    </row>
    <row r="17" spans="2:7" x14ac:dyDescent="0.2">
      <c r="B17" s="1" t="s">
        <v>131</v>
      </c>
    </row>
    <row r="18" spans="2:7" x14ac:dyDescent="0.2">
      <c r="B18" t="s">
        <v>117</v>
      </c>
      <c r="C18" s="4">
        <v>1000</v>
      </c>
      <c r="D18" s="4" t="s">
        <v>112</v>
      </c>
      <c r="E18" s="102">
        <v>0.3</v>
      </c>
      <c r="F18" s="35">
        <f t="shared" ref="F18:F26" si="0">C18*E18</f>
        <v>300</v>
      </c>
    </row>
    <row r="19" spans="2:7" x14ac:dyDescent="0.2">
      <c r="B19" t="s">
        <v>118</v>
      </c>
      <c r="C19" s="4">
        <v>500</v>
      </c>
      <c r="D19" s="4" t="s">
        <v>112</v>
      </c>
      <c r="E19" s="102">
        <v>0.11</v>
      </c>
      <c r="F19" s="35">
        <f t="shared" si="0"/>
        <v>55</v>
      </c>
    </row>
    <row r="20" spans="2:7" x14ac:dyDescent="0.2">
      <c r="B20" t="s">
        <v>9</v>
      </c>
      <c r="C20" s="99">
        <v>0.5</v>
      </c>
      <c r="D20" s="4" t="s">
        <v>10</v>
      </c>
      <c r="E20" s="102">
        <v>20</v>
      </c>
      <c r="F20" s="35">
        <f t="shared" si="0"/>
        <v>10</v>
      </c>
    </row>
    <row r="21" spans="2:7" x14ac:dyDescent="0.2">
      <c r="B21" t="s">
        <v>54</v>
      </c>
      <c r="C21" s="99">
        <v>10</v>
      </c>
      <c r="D21" s="4" t="s">
        <v>55</v>
      </c>
      <c r="E21" s="102">
        <v>28</v>
      </c>
      <c r="F21" s="35">
        <f t="shared" si="0"/>
        <v>280</v>
      </c>
    </row>
    <row r="22" spans="2:7" x14ac:dyDescent="0.2">
      <c r="B22" t="s">
        <v>56</v>
      </c>
      <c r="C22" s="99">
        <v>1.2</v>
      </c>
      <c r="D22" s="4" t="s">
        <v>55</v>
      </c>
      <c r="E22" s="102">
        <v>50</v>
      </c>
      <c r="F22" s="35">
        <f t="shared" si="0"/>
        <v>60</v>
      </c>
    </row>
    <row r="23" spans="2:7" x14ac:dyDescent="0.2">
      <c r="B23" t="s">
        <v>57</v>
      </c>
      <c r="C23" s="4">
        <v>1</v>
      </c>
      <c r="D23" s="4" t="s">
        <v>18</v>
      </c>
      <c r="E23" s="102">
        <v>382</v>
      </c>
      <c r="F23" s="35">
        <f t="shared" si="0"/>
        <v>382</v>
      </c>
      <c r="G23" s="2"/>
    </row>
    <row r="24" spans="2:7" x14ac:dyDescent="0.2">
      <c r="B24" t="s">
        <v>113</v>
      </c>
      <c r="C24" s="4">
        <v>1</v>
      </c>
      <c r="D24" s="4" t="s">
        <v>18</v>
      </c>
      <c r="E24" s="102">
        <v>39.869999999999997</v>
      </c>
      <c r="F24" s="35">
        <f t="shared" si="0"/>
        <v>39.869999999999997</v>
      </c>
      <c r="G24" s="2"/>
    </row>
    <row r="25" spans="2:7" x14ac:dyDescent="0.2">
      <c r="B25" t="s">
        <v>17</v>
      </c>
      <c r="C25" s="4">
        <v>1</v>
      </c>
      <c r="D25" s="4" t="s">
        <v>18</v>
      </c>
      <c r="E25" s="102">
        <v>136.30000000000001</v>
      </c>
      <c r="F25" s="35">
        <f t="shared" si="0"/>
        <v>136.30000000000001</v>
      </c>
      <c r="G25" s="2"/>
    </row>
    <row r="26" spans="2:7" x14ac:dyDescent="0.2">
      <c r="B26" t="s">
        <v>59</v>
      </c>
      <c r="C26" s="4">
        <v>1</v>
      </c>
      <c r="D26" s="4" t="s">
        <v>18</v>
      </c>
      <c r="E26" s="102">
        <v>117.77</v>
      </c>
      <c r="F26" s="35">
        <f t="shared" si="0"/>
        <v>117.77</v>
      </c>
      <c r="G26" s="2"/>
    </row>
    <row r="27" spans="2:7" x14ac:dyDescent="0.2">
      <c r="B27" t="s">
        <v>60</v>
      </c>
      <c r="C27" s="113">
        <v>1</v>
      </c>
      <c r="D27" s="4" t="s">
        <v>61</v>
      </c>
      <c r="E27" s="102">
        <v>75</v>
      </c>
      <c r="F27" s="35">
        <f>C27*E27</f>
        <v>75</v>
      </c>
    </row>
    <row r="28" spans="2:7" x14ac:dyDescent="0.2">
      <c r="B28" t="s">
        <v>20</v>
      </c>
      <c r="C28" s="99">
        <v>90</v>
      </c>
      <c r="D28" s="5" t="s">
        <v>21</v>
      </c>
      <c r="E28" s="102">
        <v>0.4</v>
      </c>
      <c r="F28" s="35">
        <f>C28*E28</f>
        <v>36</v>
      </c>
      <c r="G28" s="2"/>
    </row>
    <row r="29" spans="2:7" x14ac:dyDescent="0.2">
      <c r="B29" t="s">
        <v>77</v>
      </c>
      <c r="C29" s="99">
        <v>16</v>
      </c>
      <c r="D29" s="5" t="s">
        <v>21</v>
      </c>
      <c r="E29" s="102">
        <v>9</v>
      </c>
      <c r="F29" s="35">
        <f>C29*E29</f>
        <v>144</v>
      </c>
      <c r="G29" s="2"/>
    </row>
    <row r="30" spans="2:7" x14ac:dyDescent="0.2">
      <c r="B30" t="s">
        <v>23</v>
      </c>
      <c r="C30" s="53">
        <v>1</v>
      </c>
      <c r="D30" s="6" t="s">
        <v>18</v>
      </c>
      <c r="E30" s="103">
        <f>70.07</f>
        <v>70.069999999999993</v>
      </c>
      <c r="F30" s="38">
        <f>C30*E30</f>
        <v>70.069999999999993</v>
      </c>
      <c r="G30" s="2"/>
    </row>
    <row r="31" spans="2:7" x14ac:dyDescent="0.2">
      <c r="B31" s="1" t="s">
        <v>24</v>
      </c>
      <c r="E31" s="73"/>
      <c r="F31" s="39">
        <f>SUM(F18:F30)</f>
        <v>1706.0099999999998</v>
      </c>
    </row>
    <row r="32" spans="2:7" x14ac:dyDescent="0.2">
      <c r="E32" s="73"/>
    </row>
    <row r="33" spans="2:7" x14ac:dyDescent="0.2">
      <c r="B33" s="1" t="s">
        <v>25</v>
      </c>
      <c r="E33" s="73"/>
    </row>
    <row r="34" spans="2:7" x14ac:dyDescent="0.2">
      <c r="B34" t="s">
        <v>62</v>
      </c>
      <c r="C34" s="99">
        <v>18</v>
      </c>
      <c r="D34" s="4" t="s">
        <v>21</v>
      </c>
      <c r="E34" s="102">
        <v>9</v>
      </c>
      <c r="F34" s="35">
        <f>C34*E34</f>
        <v>162</v>
      </c>
    </row>
    <row r="35" spans="2:7" x14ac:dyDescent="0.2">
      <c r="B35" t="s">
        <v>63</v>
      </c>
      <c r="C35" s="4">
        <v>1</v>
      </c>
      <c r="D35" s="4" t="s">
        <v>64</v>
      </c>
      <c r="E35" s="102">
        <v>10</v>
      </c>
      <c r="F35" s="35">
        <f>C35*E35</f>
        <v>10</v>
      </c>
    </row>
    <row r="36" spans="2:7" x14ac:dyDescent="0.2">
      <c r="B36" t="s">
        <v>28</v>
      </c>
      <c r="E36" s="72"/>
    </row>
    <row r="37" spans="2:7" x14ac:dyDescent="0.2">
      <c r="B37" t="s">
        <v>115</v>
      </c>
      <c r="C37" s="109">
        <v>2</v>
      </c>
      <c r="D37" s="4" t="s">
        <v>55</v>
      </c>
      <c r="E37" s="72"/>
      <c r="F37" s="35">
        <f>C10*C37</f>
        <v>900</v>
      </c>
      <c r="G37" s="2"/>
    </row>
    <row r="38" spans="2:7" x14ac:dyDescent="0.2">
      <c r="B38" t="s">
        <v>31</v>
      </c>
      <c r="C38" s="95">
        <v>0.1</v>
      </c>
      <c r="D38" s="4" t="s">
        <v>32</v>
      </c>
      <c r="E38" s="72"/>
      <c r="F38" s="35">
        <f>C38*F13</f>
        <v>472.72500000000002</v>
      </c>
    </row>
    <row r="39" spans="2:7" x14ac:dyDescent="0.2">
      <c r="B39" t="s">
        <v>35</v>
      </c>
      <c r="C39" s="6">
        <f>C10</f>
        <v>450</v>
      </c>
      <c r="D39" s="6" t="s">
        <v>55</v>
      </c>
      <c r="E39" s="103">
        <v>0.2</v>
      </c>
      <c r="F39" s="38">
        <f>C39*E39</f>
        <v>90</v>
      </c>
      <c r="G39" s="2"/>
    </row>
    <row r="40" spans="2:7" x14ac:dyDescent="0.2">
      <c r="B40" s="1" t="s">
        <v>36</v>
      </c>
      <c r="F40" s="39">
        <f>SUM(F34:F39)</f>
        <v>1634.7249999999999</v>
      </c>
    </row>
    <row r="42" spans="2:7" x14ac:dyDescent="0.2">
      <c r="B42" s="3" t="s">
        <v>175</v>
      </c>
      <c r="F42" s="36">
        <f>(0.05*0.5*F31)+(0.05*0.25*F40)</f>
        <v>63.084312499999996</v>
      </c>
    </row>
    <row r="44" spans="2:7" x14ac:dyDescent="0.2">
      <c r="B44" s="1" t="s">
        <v>37</v>
      </c>
      <c r="C44" s="18"/>
      <c r="D44" s="18"/>
      <c r="E44" s="39"/>
      <c r="F44" s="39">
        <f>SUM(F31+F40+F42)</f>
        <v>3403.8193124999998</v>
      </c>
    </row>
    <row r="46" spans="2:7" x14ac:dyDescent="0.2">
      <c r="B46" s="13" t="s">
        <v>38</v>
      </c>
      <c r="C46" s="14"/>
      <c r="D46" s="14"/>
      <c r="E46" s="55"/>
      <c r="F46" s="31">
        <f>F13-F44</f>
        <v>1323.4306875000002</v>
      </c>
    </row>
    <row r="48" spans="2:7" ht="12.75" customHeight="1" x14ac:dyDescent="0.2">
      <c r="B48" s="23"/>
      <c r="C48" s="24"/>
      <c r="D48" s="24"/>
      <c r="E48" s="46"/>
      <c r="F48" s="46"/>
    </row>
    <row r="49" spans="2:7" x14ac:dyDescent="0.2">
      <c r="B49" s="1" t="s">
        <v>39</v>
      </c>
    </row>
    <row r="50" spans="2:7" x14ac:dyDescent="0.2">
      <c r="B50" t="s">
        <v>40</v>
      </c>
      <c r="F50" s="37">
        <f>97.5</f>
        <v>97.5</v>
      </c>
      <c r="G50" s="2"/>
    </row>
    <row r="51" spans="2:7" x14ac:dyDescent="0.2">
      <c r="B51" t="s">
        <v>41</v>
      </c>
      <c r="F51" s="37">
        <v>189.57</v>
      </c>
    </row>
    <row r="52" spans="2:7" x14ac:dyDescent="0.2">
      <c r="B52" t="s">
        <v>42</v>
      </c>
      <c r="F52" s="37">
        <v>5</v>
      </c>
    </row>
    <row r="53" spans="2:7" x14ac:dyDescent="0.2">
      <c r="B53" t="s">
        <v>43</v>
      </c>
      <c r="C53" s="6"/>
      <c r="D53" s="6"/>
      <c r="E53" s="56"/>
      <c r="F53" s="54">
        <v>35</v>
      </c>
    </row>
    <row r="54" spans="2:7" x14ac:dyDescent="0.2">
      <c r="B54" s="1" t="s">
        <v>44</v>
      </c>
      <c r="F54" s="44">
        <f>SUM(F50:F53)</f>
        <v>327.07</v>
      </c>
    </row>
    <row r="56" spans="2:7" x14ac:dyDescent="0.2">
      <c r="B56" s="1" t="s">
        <v>45</v>
      </c>
      <c r="F56" s="39">
        <f>F44+F54</f>
        <v>3730.8893125</v>
      </c>
    </row>
    <row r="58" spans="2:7" x14ac:dyDescent="0.2">
      <c r="B58" s="13" t="s">
        <v>46</v>
      </c>
      <c r="C58" s="16"/>
      <c r="D58" s="16"/>
      <c r="E58" s="31"/>
      <c r="F58" s="31">
        <f>F13-F56</f>
        <v>996.36068750000004</v>
      </c>
    </row>
    <row r="60" spans="2:7" x14ac:dyDescent="0.2">
      <c r="B60" t="s">
        <v>47</v>
      </c>
      <c r="C60" s="99">
        <v>30</v>
      </c>
      <c r="D60" s="5" t="s">
        <v>21</v>
      </c>
      <c r="E60" s="102">
        <v>15</v>
      </c>
      <c r="F60" s="35">
        <f>C60*E60</f>
        <v>450</v>
      </c>
    </row>
    <row r="62" spans="2:7" x14ac:dyDescent="0.2">
      <c r="B62" s="13" t="s">
        <v>48</v>
      </c>
      <c r="C62" s="14"/>
      <c r="D62" s="14"/>
      <c r="E62" s="55"/>
      <c r="F62" s="31">
        <f>F58-F60</f>
        <v>546.36068750000004</v>
      </c>
    </row>
    <row r="64" spans="2:7" ht="12.75" customHeight="1" x14ac:dyDescent="0.2">
      <c r="B64" s="23"/>
      <c r="C64" s="24"/>
      <c r="D64" s="24"/>
      <c r="E64" s="46"/>
      <c r="F64" s="46"/>
    </row>
    <row r="65" spans="2:6" x14ac:dyDescent="0.2">
      <c r="B65" s="2"/>
    </row>
    <row r="66" spans="2:6" x14ac:dyDescent="0.2">
      <c r="B66" s="175" t="s">
        <v>132</v>
      </c>
      <c r="C66" s="175"/>
      <c r="D66" s="175"/>
      <c r="E66" s="175"/>
      <c r="F66" s="175"/>
    </row>
    <row r="67" spans="2:6" x14ac:dyDescent="0.2">
      <c r="B67" s="2"/>
    </row>
    <row r="68" spans="2:6" x14ac:dyDescent="0.2">
      <c r="B68" s="2"/>
    </row>
    <row r="69" spans="2:6" x14ac:dyDescent="0.2">
      <c r="B69" s="2"/>
    </row>
    <row r="70" spans="2:6" x14ac:dyDescent="0.2">
      <c r="B70" s="2"/>
    </row>
  </sheetData>
  <sheetProtection password="CF0F" sheet="1" objects="1" scenarios="1"/>
  <mergeCells count="2">
    <mergeCell ref="B66:F66"/>
    <mergeCell ref="E4:F6"/>
  </mergeCells>
  <hyperlinks>
    <hyperlink ref="E4:F6" location="Contents" display="Return to Table of Contents"/>
  </hyperlinks>
  <pageMargins left="0.75" right="0.75" top="1" bottom="1" header="0.5" footer="0.5"/>
  <pageSetup scale="7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6"/>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2" customWidth="1"/>
  </cols>
  <sheetData>
    <row r="1" spans="1:7" x14ac:dyDescent="0.2">
      <c r="A1" s="134"/>
      <c r="B1" s="134"/>
      <c r="C1" s="135"/>
      <c r="D1" s="135"/>
      <c r="E1" s="136"/>
      <c r="F1" s="137"/>
      <c r="G1" s="134"/>
    </row>
    <row r="2" spans="1:7" x14ac:dyDescent="0.2">
      <c r="A2" s="134"/>
      <c r="B2" s="138" t="s">
        <v>140</v>
      </c>
      <c r="C2" s="135"/>
      <c r="D2" s="135"/>
      <c r="E2" s="136"/>
      <c r="F2" s="137"/>
      <c r="G2" s="134"/>
    </row>
    <row r="3" spans="1:7" ht="13.5" thickBot="1" x14ac:dyDescent="0.25">
      <c r="A3" s="134"/>
      <c r="B3" s="138" t="s">
        <v>194</v>
      </c>
      <c r="C3" s="135"/>
      <c r="D3" s="135"/>
      <c r="E3" s="139"/>
      <c r="F3" s="140"/>
      <c r="G3" s="134"/>
    </row>
    <row r="4" spans="1:7" x14ac:dyDescent="0.2">
      <c r="A4" s="134"/>
      <c r="B4" s="138"/>
      <c r="C4" s="135"/>
      <c r="D4" s="135"/>
      <c r="E4" s="176" t="s">
        <v>171</v>
      </c>
      <c r="F4" s="177"/>
      <c r="G4" s="134"/>
    </row>
    <row r="5" spans="1:7" x14ac:dyDescent="0.2">
      <c r="A5" s="134"/>
      <c r="B5" s="138"/>
      <c r="C5" s="135"/>
      <c r="D5" s="135"/>
      <c r="E5" s="178"/>
      <c r="F5" s="179"/>
      <c r="G5" s="134"/>
    </row>
    <row r="6" spans="1:7" ht="13.5" thickBot="1" x14ac:dyDescent="0.25">
      <c r="A6" s="134"/>
      <c r="B6" s="138"/>
      <c r="C6" s="135"/>
      <c r="D6" s="135"/>
      <c r="E6" s="180"/>
      <c r="F6" s="181"/>
      <c r="G6" s="134"/>
    </row>
    <row r="7" spans="1:7" x14ac:dyDescent="0.2">
      <c r="A7" s="134"/>
      <c r="B7" s="138"/>
      <c r="C7" s="135"/>
      <c r="D7" s="135"/>
      <c r="E7" s="136"/>
      <c r="F7" s="137"/>
      <c r="G7" s="134"/>
    </row>
    <row r="8" spans="1:7" x14ac:dyDescent="0.2">
      <c r="A8" s="134"/>
      <c r="B8" s="134"/>
      <c r="C8" s="141" t="s">
        <v>0</v>
      </c>
      <c r="D8" s="141" t="s">
        <v>1</v>
      </c>
      <c r="E8" s="142" t="s">
        <v>2</v>
      </c>
      <c r="F8" s="143" t="s">
        <v>3</v>
      </c>
      <c r="G8" s="134"/>
    </row>
    <row r="9" spans="1:7" x14ac:dyDescent="0.2">
      <c r="A9" s="134"/>
      <c r="B9" s="138" t="s">
        <v>4</v>
      </c>
      <c r="C9" s="135"/>
      <c r="D9" s="135"/>
      <c r="E9" s="136"/>
      <c r="F9" s="137"/>
      <c r="G9" s="134"/>
    </row>
    <row r="10" spans="1:7" x14ac:dyDescent="0.2">
      <c r="B10" s="134" t="s">
        <v>5</v>
      </c>
      <c r="C10" s="99">
        <v>450</v>
      </c>
      <c r="D10" s="5" t="s">
        <v>27</v>
      </c>
      <c r="E10" s="102">
        <v>12</v>
      </c>
      <c r="F10" s="35">
        <f>C10*E10</f>
        <v>5400</v>
      </c>
      <c r="G10" s="2"/>
    </row>
    <row r="11" spans="1:7" x14ac:dyDescent="0.2">
      <c r="B11" s="144"/>
      <c r="C11" s="100"/>
      <c r="E11" s="73"/>
      <c r="F11" s="36"/>
    </row>
    <row r="12" spans="1:7" x14ac:dyDescent="0.2">
      <c r="B12" s="145"/>
      <c r="C12" s="101"/>
      <c r="D12" s="15"/>
      <c r="E12" s="82"/>
      <c r="F12" s="68"/>
    </row>
    <row r="13" spans="1:7" x14ac:dyDescent="0.2">
      <c r="B13" s="138" t="s">
        <v>7</v>
      </c>
      <c r="C13" s="100"/>
      <c r="E13" s="73"/>
      <c r="F13" s="36"/>
    </row>
    <row r="14" spans="1:7" x14ac:dyDescent="0.2">
      <c r="B14" s="138" t="s">
        <v>131</v>
      </c>
      <c r="C14" s="100"/>
      <c r="E14" s="73"/>
      <c r="F14" s="36"/>
    </row>
    <row r="15" spans="1:7" x14ac:dyDescent="0.2">
      <c r="B15" s="144" t="s">
        <v>8</v>
      </c>
      <c r="C15" s="99">
        <v>17</v>
      </c>
      <c r="D15" s="5" t="s">
        <v>74</v>
      </c>
      <c r="E15" s="102">
        <v>36</v>
      </c>
      <c r="F15" s="35">
        <f>C15*E15</f>
        <v>612</v>
      </c>
    </row>
    <row r="16" spans="1:7" x14ac:dyDescent="0.2">
      <c r="B16" s="134" t="s">
        <v>9</v>
      </c>
      <c r="C16" s="99">
        <v>0.5</v>
      </c>
      <c r="D16" s="4" t="s">
        <v>10</v>
      </c>
      <c r="E16" s="102">
        <v>20</v>
      </c>
      <c r="F16" s="35">
        <f>C16*E16</f>
        <v>10</v>
      </c>
    </row>
    <row r="17" spans="2:7" s="3" customFormat="1" x14ac:dyDescent="0.2">
      <c r="B17" s="144" t="s">
        <v>11</v>
      </c>
      <c r="C17" s="99">
        <v>500</v>
      </c>
      <c r="D17" s="5" t="s">
        <v>34</v>
      </c>
      <c r="E17" s="102">
        <v>0.55000000000000004</v>
      </c>
      <c r="F17" s="37">
        <f>C17*E17</f>
        <v>275</v>
      </c>
    </row>
    <row r="18" spans="2:7" x14ac:dyDescent="0.2">
      <c r="B18" s="134" t="s">
        <v>13</v>
      </c>
      <c r="C18" s="99">
        <v>20</v>
      </c>
      <c r="D18" s="4" t="s">
        <v>34</v>
      </c>
      <c r="E18" s="102">
        <v>1.5</v>
      </c>
      <c r="F18" s="35">
        <f>C18*E18</f>
        <v>30</v>
      </c>
    </row>
    <row r="19" spans="2:7" x14ac:dyDescent="0.2">
      <c r="B19" s="134" t="s">
        <v>14</v>
      </c>
      <c r="C19" s="99">
        <v>150</v>
      </c>
      <c r="D19" s="4" t="s">
        <v>34</v>
      </c>
      <c r="E19" s="102">
        <v>0.42</v>
      </c>
      <c r="F19" s="35">
        <f>C19*E19</f>
        <v>63</v>
      </c>
    </row>
    <row r="20" spans="2:7" x14ac:dyDescent="0.2">
      <c r="B20" s="134" t="s">
        <v>15</v>
      </c>
      <c r="C20" s="99">
        <v>1.5</v>
      </c>
      <c r="D20" s="4" t="s">
        <v>16</v>
      </c>
      <c r="E20" s="72"/>
      <c r="F20" s="102">
        <v>4.8</v>
      </c>
      <c r="G20" s="2"/>
    </row>
    <row r="21" spans="2:7" x14ac:dyDescent="0.2">
      <c r="B21" s="134" t="s">
        <v>17</v>
      </c>
      <c r="C21" s="4">
        <v>1</v>
      </c>
      <c r="D21" s="4" t="s">
        <v>18</v>
      </c>
      <c r="E21" s="72"/>
      <c r="F21" s="104">
        <v>56.8</v>
      </c>
      <c r="G21" s="2"/>
    </row>
    <row r="22" spans="2:7" x14ac:dyDescent="0.2">
      <c r="B22" s="134" t="s">
        <v>19</v>
      </c>
      <c r="C22" s="4">
        <v>1</v>
      </c>
      <c r="D22" s="4" t="s">
        <v>18</v>
      </c>
      <c r="E22" s="72"/>
      <c r="F22" s="104">
        <v>172.5</v>
      </c>
      <c r="G22" s="2"/>
    </row>
    <row r="23" spans="2:7" x14ac:dyDescent="0.2">
      <c r="B23" s="134" t="s">
        <v>20</v>
      </c>
      <c r="C23" s="99">
        <v>6</v>
      </c>
      <c r="D23" s="5" t="s">
        <v>21</v>
      </c>
      <c r="E23" s="102">
        <v>7.5</v>
      </c>
      <c r="F23" s="35">
        <f>C23*E23</f>
        <v>45</v>
      </c>
      <c r="G23" s="2"/>
    </row>
    <row r="24" spans="2:7" x14ac:dyDescent="0.2">
      <c r="B24" s="134" t="s">
        <v>22</v>
      </c>
      <c r="C24" s="99">
        <v>15</v>
      </c>
      <c r="D24" s="5" t="s">
        <v>21</v>
      </c>
      <c r="E24" s="102">
        <v>9</v>
      </c>
      <c r="F24" s="35">
        <f>C24*E24</f>
        <v>135</v>
      </c>
      <c r="G24" s="2"/>
    </row>
    <row r="25" spans="2:7" x14ac:dyDescent="0.2">
      <c r="B25" s="146" t="s">
        <v>23</v>
      </c>
      <c r="C25" s="53">
        <v>1</v>
      </c>
      <c r="D25" s="6" t="s">
        <v>18</v>
      </c>
      <c r="E25" s="103">
        <v>44.83</v>
      </c>
      <c r="F25" s="38">
        <f>C25*E25</f>
        <v>44.83</v>
      </c>
      <c r="G25" s="2"/>
    </row>
    <row r="26" spans="2:7" x14ac:dyDescent="0.2">
      <c r="B26" s="138" t="s">
        <v>24</v>
      </c>
      <c r="F26" s="39">
        <f>SUM(F15:F25)</f>
        <v>1448.9299999999998</v>
      </c>
    </row>
    <row r="27" spans="2:7" x14ac:dyDescent="0.2">
      <c r="B27" s="134"/>
      <c r="F27" s="36"/>
    </row>
    <row r="28" spans="2:7" x14ac:dyDescent="0.2">
      <c r="B28" s="138" t="s">
        <v>25</v>
      </c>
      <c r="F28" s="36"/>
    </row>
    <row r="29" spans="2:7" x14ac:dyDescent="0.2">
      <c r="B29" s="134" t="s">
        <v>26</v>
      </c>
      <c r="C29" s="4">
        <f>C10</f>
        <v>450</v>
      </c>
      <c r="D29" s="4" t="s">
        <v>27</v>
      </c>
      <c r="E29" s="102">
        <v>1.25</v>
      </c>
      <c r="F29" s="35">
        <f>C29*E29</f>
        <v>562.5</v>
      </c>
    </row>
    <row r="30" spans="2:7" x14ac:dyDescent="0.2">
      <c r="B30" s="134" t="s">
        <v>28</v>
      </c>
      <c r="E30" s="75"/>
      <c r="F30" s="36"/>
    </row>
    <row r="31" spans="2:7" x14ac:dyDescent="0.2">
      <c r="B31" s="134" t="s">
        <v>29</v>
      </c>
      <c r="C31" s="105">
        <v>0.6</v>
      </c>
      <c r="D31" s="4" t="s">
        <v>6</v>
      </c>
      <c r="E31" s="72"/>
      <c r="F31" s="35">
        <f>C10*C31</f>
        <v>270</v>
      </c>
      <c r="G31" s="2"/>
    </row>
    <row r="32" spans="2:7" x14ac:dyDescent="0.2">
      <c r="B32" s="134" t="s">
        <v>30</v>
      </c>
      <c r="C32" s="108">
        <v>2.5</v>
      </c>
      <c r="D32" s="5" t="s">
        <v>21</v>
      </c>
      <c r="E32" s="102">
        <v>9</v>
      </c>
      <c r="F32" s="35">
        <f>C32*E32</f>
        <v>22.5</v>
      </c>
    </row>
    <row r="33" spans="2:7" x14ac:dyDescent="0.2">
      <c r="B33" s="134" t="s">
        <v>31</v>
      </c>
      <c r="C33" s="95">
        <v>0.1</v>
      </c>
      <c r="D33" s="4" t="s">
        <v>32</v>
      </c>
      <c r="E33" s="72"/>
      <c r="F33" s="35">
        <f>C33*F10</f>
        <v>540</v>
      </c>
    </row>
    <row r="34" spans="2:7" x14ac:dyDescent="0.2">
      <c r="B34" s="134" t="s">
        <v>33</v>
      </c>
      <c r="C34" s="111">
        <v>2100</v>
      </c>
      <c r="D34" s="4" t="s">
        <v>34</v>
      </c>
      <c r="E34" s="102">
        <v>0.05</v>
      </c>
      <c r="F34" s="35">
        <f>C34*E34</f>
        <v>105</v>
      </c>
    </row>
    <row r="35" spans="2:7" x14ac:dyDescent="0.2">
      <c r="B35" s="146" t="s">
        <v>35</v>
      </c>
      <c r="C35" s="6">
        <f>C10</f>
        <v>450</v>
      </c>
      <c r="D35" s="6" t="s">
        <v>27</v>
      </c>
      <c r="E35" s="103">
        <f>0.09</f>
        <v>0.09</v>
      </c>
      <c r="F35" s="38">
        <f>C35*E35</f>
        <v>40.5</v>
      </c>
    </row>
    <row r="36" spans="2:7" x14ac:dyDescent="0.2">
      <c r="B36" s="138" t="s">
        <v>36</v>
      </c>
      <c r="F36" s="39">
        <f>SUM(F29:F35)</f>
        <v>1540.5</v>
      </c>
    </row>
    <row r="37" spans="2:7" ht="12.75" customHeight="1" x14ac:dyDescent="0.2">
      <c r="B37" s="134"/>
      <c r="F37" s="36"/>
    </row>
    <row r="38" spans="2:7" x14ac:dyDescent="0.2">
      <c r="B38" s="144" t="s">
        <v>175</v>
      </c>
      <c r="D38" s="70"/>
      <c r="F38" s="36">
        <f>(0.05*0.5*F26)+(0.05*0.25*F36)</f>
        <v>55.479500000000002</v>
      </c>
      <c r="G38" s="3"/>
    </row>
    <row r="39" spans="2:7" x14ac:dyDescent="0.2">
      <c r="B39" s="134"/>
      <c r="F39" s="36"/>
    </row>
    <row r="40" spans="2:7" x14ac:dyDescent="0.2">
      <c r="B40" s="147" t="s">
        <v>37</v>
      </c>
      <c r="C40" s="10"/>
      <c r="D40" s="10"/>
      <c r="E40" s="40"/>
      <c r="F40" s="40">
        <f>SUM(F26+F36+F38)</f>
        <v>3044.9094999999998</v>
      </c>
    </row>
    <row r="41" spans="2:7" x14ac:dyDescent="0.2">
      <c r="B41" s="147"/>
      <c r="C41" s="10"/>
      <c r="D41" s="10"/>
      <c r="E41" s="40"/>
      <c r="F41" s="40"/>
    </row>
    <row r="42" spans="2:7" x14ac:dyDescent="0.2">
      <c r="B42" s="148" t="s">
        <v>38</v>
      </c>
      <c r="C42" s="14"/>
      <c r="D42" s="14"/>
      <c r="E42" s="55"/>
      <c r="F42" s="31">
        <f>F10-F40</f>
        <v>2355.0905000000002</v>
      </c>
    </row>
    <row r="43" spans="2:7" x14ac:dyDescent="0.2">
      <c r="B43" s="138"/>
      <c r="F43" s="39"/>
    </row>
    <row r="44" spans="2:7" x14ac:dyDescent="0.2">
      <c r="B44" s="149"/>
      <c r="C44" s="24"/>
      <c r="D44" s="24"/>
      <c r="E44" s="46"/>
      <c r="F44" s="46"/>
    </row>
    <row r="45" spans="2:7" x14ac:dyDescent="0.2">
      <c r="B45" s="138" t="s">
        <v>39</v>
      </c>
      <c r="F45" s="36"/>
    </row>
    <row r="46" spans="2:7" x14ac:dyDescent="0.2">
      <c r="B46" s="134" t="s">
        <v>40</v>
      </c>
      <c r="F46" s="37">
        <f>77.08</f>
        <v>77.08</v>
      </c>
      <c r="G46" s="2"/>
    </row>
    <row r="47" spans="2:7" x14ac:dyDescent="0.2">
      <c r="B47" s="134" t="s">
        <v>41</v>
      </c>
      <c r="F47" s="37">
        <v>300</v>
      </c>
      <c r="G47" s="2"/>
    </row>
    <row r="48" spans="2:7" x14ac:dyDescent="0.2">
      <c r="B48" s="134" t="s">
        <v>42</v>
      </c>
      <c r="F48" s="37">
        <v>5</v>
      </c>
    </row>
    <row r="49" spans="2:6" x14ac:dyDescent="0.2">
      <c r="B49" s="146" t="s">
        <v>43</v>
      </c>
      <c r="C49" s="6"/>
      <c r="D49" s="6"/>
      <c r="E49" s="56"/>
      <c r="F49" s="54">
        <f>0.005*F10</f>
        <v>27</v>
      </c>
    </row>
    <row r="50" spans="2:6" s="11" customFormat="1" x14ac:dyDescent="0.2">
      <c r="B50" s="147" t="s">
        <v>44</v>
      </c>
      <c r="C50" s="12"/>
      <c r="D50" s="12"/>
      <c r="E50" s="43"/>
      <c r="F50" s="42">
        <f>SUM(F46:F49)</f>
        <v>409.08</v>
      </c>
    </row>
    <row r="51" spans="2:6" s="11" customFormat="1" x14ac:dyDescent="0.2">
      <c r="B51" s="146"/>
      <c r="C51" s="12"/>
      <c r="D51" s="12"/>
      <c r="E51" s="43"/>
      <c r="F51" s="43"/>
    </row>
    <row r="52" spans="2:6" s="11" customFormat="1" x14ac:dyDescent="0.2">
      <c r="B52" s="147" t="s">
        <v>45</v>
      </c>
      <c r="C52" s="12"/>
      <c r="D52" s="12"/>
      <c r="E52" s="43"/>
      <c r="F52" s="40">
        <f>F40+F50</f>
        <v>3453.9894999999997</v>
      </c>
    </row>
    <row r="53" spans="2:6" x14ac:dyDescent="0.2">
      <c r="B53" s="134"/>
      <c r="F53" s="36"/>
    </row>
    <row r="54" spans="2:6" x14ac:dyDescent="0.2">
      <c r="B54" s="148" t="s">
        <v>46</v>
      </c>
      <c r="C54" s="14"/>
      <c r="D54" s="14"/>
      <c r="E54" s="55"/>
      <c r="F54" s="31">
        <f>F10-F52</f>
        <v>1946.0105000000003</v>
      </c>
    </row>
    <row r="55" spans="2:6" x14ac:dyDescent="0.2">
      <c r="B55" s="134"/>
      <c r="F55" s="36"/>
    </row>
    <row r="56" spans="2:6" x14ac:dyDescent="0.2">
      <c r="B56" s="134" t="s">
        <v>47</v>
      </c>
      <c r="C56" s="99">
        <v>50</v>
      </c>
      <c r="D56" s="5" t="s">
        <v>21</v>
      </c>
      <c r="E56" s="102">
        <v>15</v>
      </c>
      <c r="F56" s="35">
        <f>C56*E56</f>
        <v>750</v>
      </c>
    </row>
    <row r="57" spans="2:6" x14ac:dyDescent="0.2">
      <c r="B57" s="134"/>
      <c r="F57" s="36"/>
    </row>
    <row r="58" spans="2:6" x14ac:dyDescent="0.2">
      <c r="B58" s="148" t="s">
        <v>48</v>
      </c>
      <c r="C58" s="14"/>
      <c r="D58" s="14"/>
      <c r="E58" s="55"/>
      <c r="F58" s="31">
        <f>F54-F56</f>
        <v>1196.0105000000003</v>
      </c>
    </row>
    <row r="59" spans="2:6" x14ac:dyDescent="0.2">
      <c r="B59" s="134"/>
      <c r="F59" s="36"/>
    </row>
    <row r="60" spans="2:6" x14ac:dyDescent="0.2">
      <c r="B60" s="150"/>
      <c r="C60" s="15"/>
      <c r="D60" s="15"/>
      <c r="E60" s="68"/>
      <c r="F60" s="33"/>
    </row>
    <row r="61" spans="2:6" x14ac:dyDescent="0.2">
      <c r="B61" s="151"/>
    </row>
    <row r="62" spans="2:6" x14ac:dyDescent="0.2">
      <c r="B62" s="175" t="s">
        <v>132</v>
      </c>
      <c r="C62" s="175"/>
      <c r="D62" s="175"/>
      <c r="E62" s="175"/>
      <c r="F62" s="175"/>
    </row>
    <row r="63" spans="2:6" x14ac:dyDescent="0.2">
      <c r="B63" s="2"/>
    </row>
    <row r="64" spans="2:6" x14ac:dyDescent="0.2">
      <c r="B64" s="2"/>
    </row>
    <row r="65" spans="2:2" x14ac:dyDescent="0.2">
      <c r="B65" s="2"/>
    </row>
    <row r="66" spans="2:2" x14ac:dyDescent="0.2">
      <c r="B66" s="2"/>
    </row>
  </sheetData>
  <sheetProtection password="CF0F" sheet="1" objects="1" scenarios="1"/>
  <mergeCells count="2">
    <mergeCell ref="B62:F62"/>
    <mergeCell ref="E4:F6"/>
  </mergeCells>
  <hyperlinks>
    <hyperlink ref="E4:F6" location="Contents" display="Return to Table of Contents"/>
  </hyperlinks>
  <pageMargins left="0.75" right="0.75" top="1" bottom="1" header="0.5" footer="0.5"/>
  <pageSetup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G65"/>
  <sheetViews>
    <sheetView showGridLines="0" workbookViewId="0">
      <selection activeCell="B2" sqref="B2"/>
    </sheetView>
  </sheetViews>
  <sheetFormatPr defaultRowHeight="12.75" x14ac:dyDescent="0.2"/>
  <cols>
    <col min="1" max="1" width="3.7109375" customWidth="1"/>
    <col min="2" max="2" width="48.28515625" customWidth="1"/>
    <col min="3" max="5" width="10.28515625" style="4" customWidth="1"/>
    <col min="6" max="6" width="11.28515625" style="4" customWidth="1"/>
  </cols>
  <sheetData>
    <row r="2" spans="2:7" x14ac:dyDescent="0.2">
      <c r="B2" s="1" t="s">
        <v>134</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16" t="s">
        <v>2</v>
      </c>
      <c r="F8" s="16" t="s">
        <v>3</v>
      </c>
    </row>
    <row r="9" spans="2:7" x14ac:dyDescent="0.2">
      <c r="B9" s="1" t="s">
        <v>4</v>
      </c>
    </row>
    <row r="10" spans="2:7" x14ac:dyDescent="0.2">
      <c r="B10" t="s">
        <v>49</v>
      </c>
      <c r="C10" s="99">
        <v>650</v>
      </c>
      <c r="D10" s="5" t="s">
        <v>27</v>
      </c>
      <c r="E10" s="105">
        <v>9</v>
      </c>
      <c r="F10" s="19">
        <f>C10*E10</f>
        <v>5850</v>
      </c>
      <c r="G10" s="2"/>
    </row>
    <row r="11" spans="2:7" x14ac:dyDescent="0.2">
      <c r="C11" s="83"/>
      <c r="E11" s="85"/>
      <c r="F11" s="20"/>
    </row>
    <row r="12" spans="2:7" x14ac:dyDescent="0.2">
      <c r="B12" s="76"/>
      <c r="C12" s="84"/>
      <c r="D12" s="77"/>
      <c r="E12" s="86"/>
      <c r="F12" s="78"/>
    </row>
    <row r="13" spans="2:7" x14ac:dyDescent="0.2">
      <c r="B13" s="1" t="s">
        <v>7</v>
      </c>
      <c r="C13" s="83"/>
      <c r="E13" s="85"/>
      <c r="F13" s="20"/>
    </row>
    <row r="14" spans="2:7" x14ac:dyDescent="0.2">
      <c r="B14" s="1" t="s">
        <v>131</v>
      </c>
      <c r="C14" s="83"/>
      <c r="E14" s="85"/>
      <c r="F14" s="20"/>
    </row>
    <row r="15" spans="2:7" x14ac:dyDescent="0.2">
      <c r="B15" t="s">
        <v>50</v>
      </c>
      <c r="C15" s="99">
        <v>14.5</v>
      </c>
      <c r="D15" s="5" t="s">
        <v>74</v>
      </c>
      <c r="E15" s="105">
        <v>22</v>
      </c>
      <c r="F15" s="19">
        <f>C15*E15</f>
        <v>319</v>
      </c>
    </row>
    <row r="16" spans="2:7" x14ac:dyDescent="0.2">
      <c r="B16" t="s">
        <v>9</v>
      </c>
      <c r="C16" s="99">
        <v>0.5</v>
      </c>
      <c r="D16" s="4" t="s">
        <v>10</v>
      </c>
      <c r="E16" s="105">
        <v>20</v>
      </c>
      <c r="F16" s="19">
        <f>C16*E16</f>
        <v>10</v>
      </c>
    </row>
    <row r="17" spans="2:7" x14ac:dyDescent="0.2">
      <c r="B17" t="s">
        <v>11</v>
      </c>
      <c r="C17" s="99">
        <v>800</v>
      </c>
      <c r="D17" s="4" t="s">
        <v>34</v>
      </c>
      <c r="E17" s="105">
        <v>0.55000000000000004</v>
      </c>
      <c r="F17" s="19">
        <f>C17*E17</f>
        <v>440.00000000000006</v>
      </c>
    </row>
    <row r="18" spans="2:7" x14ac:dyDescent="0.2">
      <c r="B18" t="s">
        <v>13</v>
      </c>
      <c r="C18" s="99">
        <v>30</v>
      </c>
      <c r="D18" s="4" t="s">
        <v>34</v>
      </c>
      <c r="E18" s="105">
        <v>1.5</v>
      </c>
      <c r="F18" s="19">
        <f>C18*E18</f>
        <v>45</v>
      </c>
    </row>
    <row r="19" spans="2:7" x14ac:dyDescent="0.2">
      <c r="B19" s="152" t="s">
        <v>14</v>
      </c>
      <c r="C19" s="99">
        <v>200</v>
      </c>
      <c r="D19" s="4" t="s">
        <v>34</v>
      </c>
      <c r="E19" s="105">
        <v>0.42</v>
      </c>
      <c r="F19" s="19">
        <f>C19*E19</f>
        <v>84</v>
      </c>
    </row>
    <row r="20" spans="2:7" x14ac:dyDescent="0.2">
      <c r="B20" t="s">
        <v>15</v>
      </c>
      <c r="C20" s="99">
        <v>2</v>
      </c>
      <c r="D20" s="4" t="s">
        <v>51</v>
      </c>
      <c r="E20" s="105">
        <v>13</v>
      </c>
      <c r="F20" s="19">
        <f>29.98</f>
        <v>29.98</v>
      </c>
      <c r="G20" s="2"/>
    </row>
    <row r="21" spans="2:7" x14ac:dyDescent="0.2">
      <c r="B21" t="s">
        <v>17</v>
      </c>
      <c r="C21" s="4">
        <v>1</v>
      </c>
      <c r="D21" s="4" t="s">
        <v>18</v>
      </c>
      <c r="E21" s="74"/>
      <c r="F21" s="107">
        <v>115.2</v>
      </c>
      <c r="G21" s="2"/>
    </row>
    <row r="22" spans="2:7" x14ac:dyDescent="0.2">
      <c r="B22" t="s">
        <v>19</v>
      </c>
      <c r="C22" s="4">
        <v>1</v>
      </c>
      <c r="D22" s="4" t="s">
        <v>18</v>
      </c>
      <c r="E22" s="74"/>
      <c r="F22" s="107">
        <v>275.3</v>
      </c>
      <c r="G22" s="2"/>
    </row>
    <row r="23" spans="2:7" x14ac:dyDescent="0.2">
      <c r="B23" t="s">
        <v>20</v>
      </c>
      <c r="C23" s="99">
        <v>4</v>
      </c>
      <c r="D23" s="4" t="s">
        <v>21</v>
      </c>
      <c r="E23" s="105">
        <v>7.5</v>
      </c>
      <c r="F23" s="19">
        <f>C23*E23</f>
        <v>30</v>
      </c>
      <c r="G23" s="2"/>
    </row>
    <row r="24" spans="2:7" x14ac:dyDescent="0.2">
      <c r="B24" t="s">
        <v>22</v>
      </c>
      <c r="C24" s="99">
        <v>15</v>
      </c>
      <c r="D24" s="4" t="s">
        <v>21</v>
      </c>
      <c r="E24" s="105">
        <v>9</v>
      </c>
      <c r="F24" s="19">
        <f>C24*E24</f>
        <v>135</v>
      </c>
      <c r="G24" s="2"/>
    </row>
    <row r="25" spans="2:7" x14ac:dyDescent="0.2">
      <c r="B25" t="s">
        <v>23</v>
      </c>
      <c r="C25" s="53">
        <v>1</v>
      </c>
      <c r="D25" s="6" t="s">
        <v>18</v>
      </c>
      <c r="E25" s="106">
        <v>44.834932854005537</v>
      </c>
      <c r="F25" s="26">
        <f>C25*E25</f>
        <v>44.834932854005537</v>
      </c>
      <c r="G25" s="2"/>
    </row>
    <row r="26" spans="2:7" x14ac:dyDescent="0.2">
      <c r="B26" s="1" t="s">
        <v>24</v>
      </c>
      <c r="E26" s="85"/>
      <c r="F26" s="21">
        <f>SUM(F15:F25)</f>
        <v>1528.3149328540055</v>
      </c>
    </row>
    <row r="27" spans="2:7" x14ac:dyDescent="0.2">
      <c r="E27" s="85"/>
      <c r="F27" s="20"/>
    </row>
    <row r="28" spans="2:7" x14ac:dyDescent="0.2">
      <c r="B28" s="1" t="s">
        <v>25</v>
      </c>
      <c r="E28" s="85"/>
      <c r="F28" s="20"/>
    </row>
    <row r="29" spans="2:7" x14ac:dyDescent="0.2">
      <c r="B29" t="s">
        <v>26</v>
      </c>
      <c r="C29" s="4">
        <f>C10</f>
        <v>650</v>
      </c>
      <c r="D29" s="4" t="s">
        <v>27</v>
      </c>
      <c r="E29" s="105">
        <v>1.25</v>
      </c>
      <c r="F29" s="19">
        <f>C29*E29</f>
        <v>812.5</v>
      </c>
    </row>
    <row r="30" spans="2:7" x14ac:dyDescent="0.2">
      <c r="B30" t="s">
        <v>28</v>
      </c>
      <c r="E30" s="74"/>
      <c r="F30" s="20"/>
    </row>
    <row r="31" spans="2:7" x14ac:dyDescent="0.2">
      <c r="B31" t="s">
        <v>29</v>
      </c>
      <c r="C31" s="105">
        <v>0.6</v>
      </c>
      <c r="D31" s="4" t="s">
        <v>6</v>
      </c>
      <c r="E31" s="74"/>
      <c r="F31" s="19">
        <f>C10*C31</f>
        <v>390</v>
      </c>
      <c r="G31" s="2"/>
    </row>
    <row r="32" spans="2:7" x14ac:dyDescent="0.2">
      <c r="B32" t="s">
        <v>30</v>
      </c>
      <c r="C32" s="108">
        <v>2.5</v>
      </c>
      <c r="D32" s="4" t="s">
        <v>21</v>
      </c>
      <c r="E32" s="105">
        <v>9</v>
      </c>
      <c r="F32" s="19">
        <f>C32*E32</f>
        <v>22.5</v>
      </c>
    </row>
    <row r="33" spans="2:7" x14ac:dyDescent="0.2">
      <c r="B33" t="s">
        <v>31</v>
      </c>
      <c r="C33" s="95">
        <v>0.1</v>
      </c>
      <c r="D33" s="4" t="s">
        <v>32</v>
      </c>
      <c r="E33" s="74"/>
      <c r="F33" s="19">
        <f>C33*F10</f>
        <v>585</v>
      </c>
    </row>
    <row r="34" spans="2:7" x14ac:dyDescent="0.2">
      <c r="B34" t="s">
        <v>35</v>
      </c>
      <c r="C34" s="53">
        <f>C10</f>
        <v>650</v>
      </c>
      <c r="D34" s="6" t="s">
        <v>27</v>
      </c>
      <c r="E34" s="106">
        <v>0.09</v>
      </c>
      <c r="F34" s="26">
        <f>C34*E34</f>
        <v>58.5</v>
      </c>
    </row>
    <row r="35" spans="2:7" x14ac:dyDescent="0.2">
      <c r="B35" s="1" t="s">
        <v>36</v>
      </c>
      <c r="E35" s="20"/>
      <c r="F35" s="21">
        <f>SUM(F29:F34)</f>
        <v>1868.5</v>
      </c>
    </row>
    <row r="36" spans="2:7" x14ac:dyDescent="0.2">
      <c r="E36" s="20"/>
      <c r="F36" s="20"/>
    </row>
    <row r="37" spans="2:7" x14ac:dyDescent="0.2">
      <c r="B37" s="3" t="s">
        <v>175</v>
      </c>
      <c r="E37" s="20"/>
      <c r="F37" s="20">
        <f>(0.05*0.5*F26)+(0.05*0.25*F35)</f>
        <v>61.564123321350145</v>
      </c>
    </row>
    <row r="38" spans="2:7" x14ac:dyDescent="0.2">
      <c r="E38" s="20"/>
      <c r="F38" s="20"/>
    </row>
    <row r="39" spans="2:7" x14ac:dyDescent="0.2">
      <c r="B39" s="1" t="s">
        <v>37</v>
      </c>
      <c r="C39" s="18"/>
      <c r="D39" s="18"/>
      <c r="E39" s="21"/>
      <c r="F39" s="21">
        <f>SUM(F26+F35+F37)</f>
        <v>3458.3790561753558</v>
      </c>
    </row>
    <row r="40" spans="2:7" x14ac:dyDescent="0.2">
      <c r="E40" s="20"/>
      <c r="F40" s="20"/>
    </row>
    <row r="41" spans="2:7" x14ac:dyDescent="0.2">
      <c r="B41" s="13" t="s">
        <v>38</v>
      </c>
      <c r="C41" s="14"/>
      <c r="D41" s="14"/>
      <c r="E41" s="29"/>
      <c r="F41" s="30">
        <f>F10-F39</f>
        <v>2391.6209438246442</v>
      </c>
    </row>
    <row r="42" spans="2:7" x14ac:dyDescent="0.2">
      <c r="E42" s="20"/>
      <c r="F42" s="20"/>
    </row>
    <row r="43" spans="2:7" x14ac:dyDescent="0.2">
      <c r="B43" s="76"/>
      <c r="C43" s="77"/>
      <c r="D43" s="77"/>
      <c r="E43" s="78"/>
      <c r="F43" s="78"/>
    </row>
    <row r="44" spans="2:7" x14ac:dyDescent="0.2">
      <c r="B44" s="1" t="s">
        <v>39</v>
      </c>
      <c r="E44" s="20"/>
      <c r="F44" s="20"/>
    </row>
    <row r="45" spans="2:7" x14ac:dyDescent="0.2">
      <c r="B45" t="s">
        <v>40</v>
      </c>
      <c r="E45" s="20"/>
      <c r="F45" s="98">
        <f>87.08</f>
        <v>87.08</v>
      </c>
      <c r="G45" s="2"/>
    </row>
    <row r="46" spans="2:7" x14ac:dyDescent="0.2">
      <c r="B46" t="s">
        <v>41</v>
      </c>
      <c r="E46" s="20"/>
      <c r="F46" s="98">
        <v>300</v>
      </c>
      <c r="G46" s="2"/>
    </row>
    <row r="47" spans="2:7" x14ac:dyDescent="0.2">
      <c r="B47" t="s">
        <v>42</v>
      </c>
      <c r="E47" s="20"/>
      <c r="F47" s="98">
        <v>5</v>
      </c>
    </row>
    <row r="48" spans="2:7" x14ac:dyDescent="0.2">
      <c r="B48" t="s">
        <v>43</v>
      </c>
      <c r="C48" s="6"/>
      <c r="D48" s="6"/>
      <c r="E48" s="28"/>
      <c r="F48" s="97">
        <f>0.005*F10</f>
        <v>29.25</v>
      </c>
    </row>
    <row r="49" spans="2:6" x14ac:dyDescent="0.2">
      <c r="B49" s="1" t="s">
        <v>44</v>
      </c>
      <c r="E49" s="20"/>
      <c r="F49" s="22">
        <f>SUM(F45:F48)</f>
        <v>421.33</v>
      </c>
    </row>
    <row r="50" spans="2:6" x14ac:dyDescent="0.2">
      <c r="E50" s="20"/>
      <c r="F50" s="20"/>
    </row>
    <row r="51" spans="2:6" x14ac:dyDescent="0.2">
      <c r="B51" s="1" t="s">
        <v>45</v>
      </c>
      <c r="E51" s="20"/>
      <c r="F51" s="21">
        <f>F39+F49</f>
        <v>3879.7090561753557</v>
      </c>
    </row>
    <row r="52" spans="2:6" x14ac:dyDescent="0.2">
      <c r="E52" s="20"/>
      <c r="F52" s="20"/>
    </row>
    <row r="53" spans="2:6" x14ac:dyDescent="0.2">
      <c r="B53" s="13" t="s">
        <v>46</v>
      </c>
      <c r="C53" s="16"/>
      <c r="D53" s="16"/>
      <c r="E53" s="30"/>
      <c r="F53" s="30">
        <f>F10-F51</f>
        <v>1970.2909438246443</v>
      </c>
    </row>
    <row r="54" spans="2:6" x14ac:dyDescent="0.2">
      <c r="E54" s="20"/>
      <c r="F54" s="20"/>
    </row>
    <row r="55" spans="2:6" x14ac:dyDescent="0.2">
      <c r="B55" t="s">
        <v>47</v>
      </c>
      <c r="C55" s="99">
        <v>50</v>
      </c>
      <c r="D55" s="5" t="s">
        <v>21</v>
      </c>
      <c r="E55" s="105">
        <v>15</v>
      </c>
      <c r="F55" s="19">
        <f>C55*E55</f>
        <v>750</v>
      </c>
    </row>
    <row r="56" spans="2:6" x14ac:dyDescent="0.2">
      <c r="E56" s="20"/>
      <c r="F56" s="20"/>
    </row>
    <row r="57" spans="2:6" x14ac:dyDescent="0.2">
      <c r="B57" s="13" t="s">
        <v>48</v>
      </c>
      <c r="C57" s="14"/>
      <c r="D57" s="14"/>
      <c r="E57" s="29"/>
      <c r="F57" s="31">
        <f>F53-F55</f>
        <v>1220.2909438246443</v>
      </c>
    </row>
    <row r="58" spans="2:6" x14ac:dyDescent="0.2">
      <c r="E58" s="20"/>
      <c r="F58" s="20"/>
    </row>
    <row r="59" spans="2:6" x14ac:dyDescent="0.2">
      <c r="B59" s="76"/>
      <c r="C59" s="77"/>
      <c r="D59" s="77"/>
      <c r="E59" s="78"/>
      <c r="F59" s="78"/>
    </row>
    <row r="60" spans="2:6" x14ac:dyDescent="0.2">
      <c r="B60" s="2"/>
      <c r="E60" s="20"/>
      <c r="F60" s="20"/>
    </row>
    <row r="61" spans="2:6" x14ac:dyDescent="0.2">
      <c r="B61" s="175" t="s">
        <v>132</v>
      </c>
      <c r="C61" s="175"/>
      <c r="D61" s="175"/>
      <c r="E61" s="175"/>
      <c r="F61" s="175"/>
    </row>
    <row r="62" spans="2:6" x14ac:dyDescent="0.2">
      <c r="B62" s="2"/>
      <c r="E62" s="20"/>
      <c r="F62" s="20"/>
    </row>
    <row r="63" spans="2:6" x14ac:dyDescent="0.2">
      <c r="B63" s="2"/>
      <c r="E63" s="20"/>
      <c r="F63" s="20"/>
    </row>
    <row r="64" spans="2:6" x14ac:dyDescent="0.2">
      <c r="B64" s="2"/>
      <c r="E64" s="20"/>
      <c r="F64" s="20"/>
    </row>
    <row r="65" spans="2:2" x14ac:dyDescent="0.2">
      <c r="B65" s="2"/>
    </row>
  </sheetData>
  <sheetProtection password="CF0F" sheet="1" objects="1" scenarios="1"/>
  <mergeCells count="2">
    <mergeCell ref="B61:F61"/>
    <mergeCell ref="E4:F6"/>
  </mergeCells>
  <hyperlinks>
    <hyperlink ref="E4:F6" location="Contents" display="Return to Table of Contents"/>
  </hyperlinks>
  <pageMargins left="0.75" right="0.75" top="1" bottom="1" header="0.5" footer="0.5"/>
  <pageSetup scale="8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G71"/>
  <sheetViews>
    <sheetView showGridLines="0" workbookViewId="0">
      <selection activeCell="B2" sqref="B2"/>
    </sheetView>
  </sheetViews>
  <sheetFormatPr defaultRowHeight="12.75" x14ac:dyDescent="0.2"/>
  <cols>
    <col min="1" max="1" width="3.7109375" customWidth="1"/>
    <col min="2" max="2" width="48.28515625" customWidth="1"/>
    <col min="3" max="5" width="10.28515625" style="4" customWidth="1"/>
    <col min="6" max="6" width="11.28515625" style="4" customWidth="1"/>
  </cols>
  <sheetData>
    <row r="2" spans="2:7" x14ac:dyDescent="0.2">
      <c r="B2" s="1" t="s">
        <v>148</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16" t="s">
        <v>2</v>
      </c>
      <c r="F8" s="16" t="s">
        <v>3</v>
      </c>
    </row>
    <row r="9" spans="2:7" x14ac:dyDescent="0.2">
      <c r="B9" s="1" t="s">
        <v>4</v>
      </c>
    </row>
    <row r="10" spans="2:7" x14ac:dyDescent="0.2">
      <c r="B10" t="s">
        <v>52</v>
      </c>
      <c r="C10" s="99">
        <v>525</v>
      </c>
      <c r="D10" s="5" t="s">
        <v>27</v>
      </c>
      <c r="E10" s="105">
        <v>9.5</v>
      </c>
      <c r="F10" s="35">
        <f>C10*E10</f>
        <v>4987.5</v>
      </c>
      <c r="G10" s="2"/>
    </row>
    <row r="11" spans="2:7" x14ac:dyDescent="0.2">
      <c r="C11" s="83"/>
      <c r="E11" s="85"/>
      <c r="F11" s="36"/>
    </row>
    <row r="12" spans="2:7" ht="12.75" customHeight="1" x14ac:dyDescent="0.2">
      <c r="B12" s="79"/>
      <c r="C12" s="84"/>
      <c r="D12" s="80"/>
      <c r="E12" s="86"/>
      <c r="F12" s="81"/>
    </row>
    <row r="13" spans="2:7" x14ac:dyDescent="0.2">
      <c r="B13" s="1" t="s">
        <v>7</v>
      </c>
      <c r="C13" s="83"/>
      <c r="E13" s="85"/>
      <c r="F13" s="36"/>
    </row>
    <row r="14" spans="2:7" x14ac:dyDescent="0.2">
      <c r="B14" s="1" t="s">
        <v>131</v>
      </c>
      <c r="C14" s="83"/>
      <c r="E14" s="85"/>
      <c r="F14" s="36"/>
    </row>
    <row r="15" spans="2:7" x14ac:dyDescent="0.2">
      <c r="B15" t="s">
        <v>53</v>
      </c>
      <c r="C15" s="99">
        <v>2</v>
      </c>
      <c r="D15" s="4" t="s">
        <v>34</v>
      </c>
      <c r="E15" s="105">
        <v>70</v>
      </c>
      <c r="F15" s="35">
        <f>C15*E15</f>
        <v>140</v>
      </c>
    </row>
    <row r="16" spans="2:7" x14ac:dyDescent="0.2">
      <c r="B16" t="s">
        <v>9</v>
      </c>
      <c r="C16" s="99">
        <v>0.5</v>
      </c>
      <c r="D16" s="4" t="s">
        <v>10</v>
      </c>
      <c r="E16" s="105">
        <v>20</v>
      </c>
      <c r="F16" s="35">
        <f>C16*E16</f>
        <v>10</v>
      </c>
    </row>
    <row r="17" spans="2:7" x14ac:dyDescent="0.2">
      <c r="B17" t="s">
        <v>54</v>
      </c>
      <c r="C17" s="99">
        <v>10</v>
      </c>
      <c r="D17" s="4" t="s">
        <v>55</v>
      </c>
      <c r="E17" s="105">
        <v>28</v>
      </c>
      <c r="F17" s="35">
        <f>C17*E17</f>
        <v>280</v>
      </c>
    </row>
    <row r="18" spans="2:7" x14ac:dyDescent="0.2">
      <c r="B18" t="s">
        <v>56</v>
      </c>
      <c r="C18" s="99">
        <v>1</v>
      </c>
      <c r="D18" s="4" t="s">
        <v>55</v>
      </c>
      <c r="E18" s="105">
        <v>50</v>
      </c>
      <c r="F18" s="35">
        <f>C18*E18</f>
        <v>50</v>
      </c>
    </row>
    <row r="19" spans="2:7" x14ac:dyDescent="0.2">
      <c r="B19" t="s">
        <v>57</v>
      </c>
      <c r="C19" s="4">
        <v>1</v>
      </c>
      <c r="D19" s="4" t="s">
        <v>18</v>
      </c>
      <c r="E19" s="105">
        <v>382</v>
      </c>
      <c r="F19" s="35">
        <f>C19*E19</f>
        <v>382</v>
      </c>
      <c r="G19" s="2"/>
    </row>
    <row r="20" spans="2:7" x14ac:dyDescent="0.2">
      <c r="B20" t="s">
        <v>69</v>
      </c>
      <c r="C20" s="99">
        <v>1</v>
      </c>
      <c r="D20" s="5" t="s">
        <v>133</v>
      </c>
      <c r="E20" s="74"/>
      <c r="F20" s="102">
        <v>33</v>
      </c>
      <c r="G20" s="2"/>
    </row>
    <row r="21" spans="2:7" x14ac:dyDescent="0.2">
      <c r="B21" t="s">
        <v>58</v>
      </c>
      <c r="C21" s="99">
        <v>1</v>
      </c>
      <c r="D21" s="5" t="s">
        <v>133</v>
      </c>
      <c r="E21" s="74"/>
      <c r="F21" s="104">
        <v>42</v>
      </c>
      <c r="G21" s="2"/>
    </row>
    <row r="22" spans="2:7" x14ac:dyDescent="0.2">
      <c r="B22" t="s">
        <v>17</v>
      </c>
      <c r="C22" s="99">
        <v>5</v>
      </c>
      <c r="D22" s="5" t="s">
        <v>133</v>
      </c>
      <c r="E22" s="74"/>
      <c r="F22" s="104">
        <v>64.150000000000006</v>
      </c>
      <c r="G22" s="2"/>
    </row>
    <row r="23" spans="2:7" x14ac:dyDescent="0.2">
      <c r="B23" t="s">
        <v>59</v>
      </c>
      <c r="C23" s="99">
        <v>3</v>
      </c>
      <c r="D23" s="5" t="s">
        <v>133</v>
      </c>
      <c r="E23" s="74"/>
      <c r="F23" s="104">
        <v>161</v>
      </c>
      <c r="G23" s="2"/>
    </row>
    <row r="24" spans="2:7" x14ac:dyDescent="0.2">
      <c r="B24" t="s">
        <v>60</v>
      </c>
      <c r="C24" s="99">
        <v>1</v>
      </c>
      <c r="D24" s="4" t="s">
        <v>61</v>
      </c>
      <c r="E24" s="105">
        <v>75</v>
      </c>
      <c r="F24" s="35">
        <f>C24*E24</f>
        <v>75</v>
      </c>
    </row>
    <row r="25" spans="2:7" x14ac:dyDescent="0.2">
      <c r="B25" t="s">
        <v>20</v>
      </c>
      <c r="C25" s="99">
        <v>90</v>
      </c>
      <c r="D25" s="5" t="s">
        <v>21</v>
      </c>
      <c r="E25" s="105">
        <v>0.4</v>
      </c>
      <c r="F25" s="35">
        <f>C25*E25</f>
        <v>36</v>
      </c>
      <c r="G25" s="2"/>
    </row>
    <row r="26" spans="2:7" x14ac:dyDescent="0.2">
      <c r="B26" t="s">
        <v>23</v>
      </c>
      <c r="C26" s="53">
        <v>1</v>
      </c>
      <c r="D26" s="6" t="s">
        <v>18</v>
      </c>
      <c r="E26" s="106">
        <v>72.05</v>
      </c>
      <c r="F26" s="38">
        <f>C26*E26</f>
        <v>72.05</v>
      </c>
      <c r="G26" s="2"/>
    </row>
    <row r="27" spans="2:7" x14ac:dyDescent="0.2">
      <c r="B27" s="1" t="s">
        <v>24</v>
      </c>
      <c r="E27" s="20"/>
      <c r="F27" s="39">
        <f>SUM(F15:F26)</f>
        <v>1345.2</v>
      </c>
    </row>
    <row r="28" spans="2:7" ht="12.75" customHeight="1" x14ac:dyDescent="0.2">
      <c r="E28" s="20"/>
      <c r="F28" s="36"/>
    </row>
    <row r="29" spans="2:7" x14ac:dyDescent="0.2">
      <c r="B29" s="1" t="s">
        <v>25</v>
      </c>
      <c r="E29" s="20"/>
      <c r="F29" s="36"/>
    </row>
    <row r="30" spans="2:7" x14ac:dyDescent="0.2">
      <c r="B30" t="s">
        <v>26</v>
      </c>
      <c r="C30" s="4">
        <f>C10</f>
        <v>525</v>
      </c>
      <c r="D30" s="4" t="s">
        <v>27</v>
      </c>
      <c r="E30" s="105">
        <v>1.25</v>
      </c>
      <c r="F30" s="35">
        <f>C30*E30</f>
        <v>656.25</v>
      </c>
    </row>
    <row r="31" spans="2:7" x14ac:dyDescent="0.2">
      <c r="B31" t="s">
        <v>62</v>
      </c>
      <c r="C31" s="99">
        <v>18</v>
      </c>
      <c r="D31" s="5" t="s">
        <v>21</v>
      </c>
      <c r="E31" s="105">
        <v>9</v>
      </c>
      <c r="F31" s="35">
        <f>C31*E31</f>
        <v>162</v>
      </c>
    </row>
    <row r="32" spans="2:7" x14ac:dyDescent="0.2">
      <c r="B32" t="s">
        <v>63</v>
      </c>
      <c r="C32" s="5">
        <v>1</v>
      </c>
      <c r="D32" s="4" t="s">
        <v>64</v>
      </c>
      <c r="E32" s="105">
        <v>10</v>
      </c>
      <c r="F32" s="35">
        <f>C32*E32</f>
        <v>10</v>
      </c>
    </row>
    <row r="33" spans="2:7" x14ac:dyDescent="0.2">
      <c r="B33" t="s">
        <v>28</v>
      </c>
      <c r="C33" s="45"/>
      <c r="E33" s="74"/>
      <c r="F33" s="36"/>
    </row>
    <row r="34" spans="2:7" x14ac:dyDescent="0.2">
      <c r="B34" s="3" t="s">
        <v>65</v>
      </c>
      <c r="C34" s="105">
        <v>1</v>
      </c>
      <c r="D34" s="4" t="s">
        <v>6</v>
      </c>
      <c r="E34" s="74"/>
      <c r="F34" s="35">
        <f>C10*C34</f>
        <v>525</v>
      </c>
      <c r="G34" s="2"/>
    </row>
    <row r="35" spans="2:7" x14ac:dyDescent="0.2">
      <c r="B35" t="s">
        <v>66</v>
      </c>
      <c r="C35" s="105">
        <v>1.5</v>
      </c>
      <c r="D35" s="4" t="s">
        <v>6</v>
      </c>
      <c r="E35" s="74"/>
      <c r="F35" s="35">
        <f>C10*C35</f>
        <v>787.5</v>
      </c>
      <c r="G35" s="2"/>
    </row>
    <row r="36" spans="2:7" x14ac:dyDescent="0.2">
      <c r="B36" t="s">
        <v>67</v>
      </c>
      <c r="C36" s="95">
        <v>0.1</v>
      </c>
      <c r="D36" s="4" t="s">
        <v>32</v>
      </c>
      <c r="E36" s="74"/>
      <c r="F36" s="35">
        <f>C36*F10</f>
        <v>498.75</v>
      </c>
    </row>
    <row r="37" spans="2:7" x14ac:dyDescent="0.2">
      <c r="B37" t="s">
        <v>68</v>
      </c>
      <c r="C37" s="99">
        <v>10</v>
      </c>
      <c r="D37" s="5" t="s">
        <v>21</v>
      </c>
      <c r="E37" s="105">
        <v>9</v>
      </c>
      <c r="F37" s="35">
        <f>C37*E37</f>
        <v>90</v>
      </c>
    </row>
    <row r="38" spans="2:7" x14ac:dyDescent="0.2">
      <c r="B38" t="s">
        <v>35</v>
      </c>
      <c r="C38" s="53">
        <f>C30</f>
        <v>525</v>
      </c>
      <c r="D38" s="6" t="s">
        <v>27</v>
      </c>
      <c r="E38" s="106">
        <v>0.09</v>
      </c>
      <c r="F38" s="38">
        <f>C38*E38</f>
        <v>47.25</v>
      </c>
      <c r="G38" s="2"/>
    </row>
    <row r="39" spans="2:7" x14ac:dyDescent="0.2">
      <c r="B39" s="1" t="s">
        <v>36</v>
      </c>
      <c r="E39" s="20"/>
      <c r="F39" s="39">
        <f>SUM(F30:F38)</f>
        <v>2776.75</v>
      </c>
    </row>
    <row r="40" spans="2:7" x14ac:dyDescent="0.2">
      <c r="E40" s="20"/>
      <c r="F40" s="36"/>
    </row>
    <row r="41" spans="2:7" x14ac:dyDescent="0.2">
      <c r="B41" s="3" t="s">
        <v>175</v>
      </c>
      <c r="E41" s="20"/>
      <c r="F41" s="36">
        <f>(0.09*0.5*F27)+(0.09*0.25*F39)</f>
        <v>123.010875</v>
      </c>
    </row>
    <row r="42" spans="2:7" x14ac:dyDescent="0.2">
      <c r="E42" s="20"/>
      <c r="F42" s="36"/>
    </row>
    <row r="43" spans="2:7" x14ac:dyDescent="0.2">
      <c r="B43" s="1" t="s">
        <v>37</v>
      </c>
      <c r="C43" s="18"/>
      <c r="D43" s="18"/>
      <c r="E43" s="21"/>
      <c r="F43" s="39">
        <f>SUM(F27+F39+F41)</f>
        <v>4244.9608749999998</v>
      </c>
    </row>
    <row r="44" spans="2:7" ht="12.75" customHeight="1" x14ac:dyDescent="0.2">
      <c r="E44" s="20"/>
      <c r="F44" s="36"/>
    </row>
    <row r="45" spans="2:7" x14ac:dyDescent="0.2">
      <c r="B45" s="13" t="s">
        <v>38</v>
      </c>
      <c r="C45" s="14"/>
      <c r="D45" s="14"/>
      <c r="E45" s="29"/>
      <c r="F45" s="31">
        <f>F10-F43</f>
        <v>742.53912500000024</v>
      </c>
    </row>
    <row r="46" spans="2:7" x14ac:dyDescent="0.2">
      <c r="E46" s="20"/>
      <c r="F46" s="36"/>
    </row>
    <row r="47" spans="2:7" ht="12.75" customHeight="1" x14ac:dyDescent="0.2">
      <c r="B47" s="7"/>
      <c r="C47" s="8"/>
      <c r="D47" s="8"/>
      <c r="E47" s="27"/>
      <c r="F47" s="41"/>
    </row>
    <row r="48" spans="2:7" x14ac:dyDescent="0.2">
      <c r="B48" s="1" t="s">
        <v>39</v>
      </c>
      <c r="E48" s="20"/>
      <c r="F48" s="36"/>
    </row>
    <row r="49" spans="2:7" x14ac:dyDescent="0.2">
      <c r="B49" t="s">
        <v>40</v>
      </c>
      <c r="E49" s="20"/>
      <c r="F49" s="37">
        <v>100.79</v>
      </c>
      <c r="G49" s="2"/>
    </row>
    <row r="50" spans="2:7" x14ac:dyDescent="0.2">
      <c r="B50" t="s">
        <v>41</v>
      </c>
      <c r="E50" s="20"/>
      <c r="F50" s="37">
        <v>189.57</v>
      </c>
    </row>
    <row r="51" spans="2:7" x14ac:dyDescent="0.2">
      <c r="B51" t="s">
        <v>42</v>
      </c>
      <c r="E51" s="20"/>
      <c r="F51" s="37">
        <v>5</v>
      </c>
    </row>
    <row r="52" spans="2:7" x14ac:dyDescent="0.2">
      <c r="B52" t="s">
        <v>43</v>
      </c>
      <c r="C52" s="6"/>
      <c r="D52" s="6"/>
      <c r="E52" s="28"/>
      <c r="F52" s="54">
        <f>0.005*F10</f>
        <v>24.9375</v>
      </c>
    </row>
    <row r="53" spans="2:7" x14ac:dyDescent="0.2">
      <c r="B53" s="1" t="s">
        <v>44</v>
      </c>
      <c r="E53" s="20"/>
      <c r="F53" s="44">
        <f>SUM(F49:F52)</f>
        <v>320.29750000000001</v>
      </c>
    </row>
    <row r="54" spans="2:7" ht="9.75" customHeight="1" x14ac:dyDescent="0.2">
      <c r="E54" s="20"/>
      <c r="F54" s="36"/>
    </row>
    <row r="55" spans="2:7" x14ac:dyDescent="0.2">
      <c r="B55" s="1" t="s">
        <v>45</v>
      </c>
      <c r="E55" s="20"/>
      <c r="F55" s="39">
        <f>F43+F53</f>
        <v>4565.2583749999994</v>
      </c>
    </row>
    <row r="56" spans="2:7" ht="9.75" customHeight="1" x14ac:dyDescent="0.2">
      <c r="E56" s="20"/>
      <c r="F56" s="36"/>
    </row>
    <row r="57" spans="2:7" x14ac:dyDescent="0.2">
      <c r="B57" s="13" t="s">
        <v>46</v>
      </c>
      <c r="C57" s="16"/>
      <c r="D57" s="16"/>
      <c r="E57" s="30"/>
      <c r="F57" s="31">
        <f>F10-F55</f>
        <v>422.24162500000057</v>
      </c>
    </row>
    <row r="58" spans="2:7" x14ac:dyDescent="0.2">
      <c r="E58" s="20"/>
      <c r="F58" s="36"/>
    </row>
    <row r="59" spans="2:7" x14ac:dyDescent="0.2">
      <c r="B59" t="s">
        <v>47</v>
      </c>
      <c r="C59" s="99">
        <v>20</v>
      </c>
      <c r="D59" s="5" t="s">
        <v>21</v>
      </c>
      <c r="E59" s="105">
        <v>15</v>
      </c>
      <c r="F59" s="35">
        <f>C59*E59</f>
        <v>300</v>
      </c>
    </row>
    <row r="60" spans="2:7" x14ac:dyDescent="0.2">
      <c r="E60" s="20"/>
      <c r="F60" s="36"/>
    </row>
    <row r="61" spans="2:7" x14ac:dyDescent="0.2">
      <c r="B61" s="13" t="s">
        <v>48</v>
      </c>
      <c r="C61" s="14"/>
      <c r="D61" s="14"/>
      <c r="E61" s="29"/>
      <c r="F61" s="31">
        <f>F57-F59</f>
        <v>122.24162500000057</v>
      </c>
    </row>
    <row r="62" spans="2:7" x14ac:dyDescent="0.2">
      <c r="E62" s="20"/>
      <c r="F62" s="20"/>
    </row>
    <row r="63" spans="2:7" ht="12.75" customHeight="1" x14ac:dyDescent="0.2">
      <c r="B63" s="7"/>
      <c r="C63" s="8"/>
      <c r="D63" s="8"/>
      <c r="E63" s="8"/>
      <c r="F63" s="8"/>
    </row>
    <row r="64" spans="2:7" x14ac:dyDescent="0.2">
      <c r="B64" s="2"/>
    </row>
    <row r="65" spans="2:6" x14ac:dyDescent="0.2">
      <c r="B65" s="175" t="s">
        <v>132</v>
      </c>
      <c r="C65" s="175"/>
      <c r="D65" s="175"/>
      <c r="E65" s="175"/>
      <c r="F65" s="175"/>
    </row>
    <row r="66" spans="2:6" x14ac:dyDescent="0.2">
      <c r="B66" s="2"/>
    </row>
    <row r="67" spans="2:6" x14ac:dyDescent="0.2">
      <c r="B67" s="2"/>
    </row>
    <row r="68" spans="2:6" x14ac:dyDescent="0.2">
      <c r="B68" s="2"/>
    </row>
    <row r="69" spans="2:6" x14ac:dyDescent="0.2">
      <c r="B69" s="2"/>
    </row>
    <row r="70" spans="2:6" x14ac:dyDescent="0.2">
      <c r="B70" s="2"/>
    </row>
    <row r="71" spans="2:6" x14ac:dyDescent="0.2">
      <c r="B71" s="2"/>
    </row>
  </sheetData>
  <sheetProtection password="CF0F" sheet="1" objects="1" scenarios="1"/>
  <mergeCells count="2">
    <mergeCell ref="B65:F65"/>
    <mergeCell ref="E4:F6"/>
  </mergeCells>
  <hyperlinks>
    <hyperlink ref="E4:F6" location="Contents" display="Return to Table of Contents"/>
  </hyperlinks>
  <pageMargins left="0.75" right="0.75" top="1" bottom="1" header="0.5" footer="0.5"/>
  <pageSetup scale="7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G76"/>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20" customWidth="1"/>
    <col min="6" max="6" width="11.28515625" style="36" customWidth="1"/>
    <col min="7" max="7" width="9.140625" style="50" customWidth="1"/>
  </cols>
  <sheetData>
    <row r="2" spans="2:7" x14ac:dyDescent="0.2">
      <c r="B2" s="1" t="s">
        <v>149</v>
      </c>
    </row>
    <row r="3" spans="2:7" ht="13.5" thickBot="1" x14ac:dyDescent="0.25">
      <c r="B3" s="1" t="s">
        <v>194</v>
      </c>
      <c r="E3" s="34"/>
    </row>
    <row r="4" spans="2:7" x14ac:dyDescent="0.2">
      <c r="B4" s="1"/>
      <c r="C4" s="5" t="s">
        <v>174</v>
      </c>
      <c r="E4" s="176" t="s">
        <v>171</v>
      </c>
      <c r="F4" s="177"/>
    </row>
    <row r="5" spans="2:7" x14ac:dyDescent="0.2">
      <c r="E5" s="178"/>
      <c r="F5" s="179"/>
    </row>
    <row r="6" spans="2:7" ht="13.5" thickBot="1" x14ac:dyDescent="0.25">
      <c r="B6" s="1"/>
      <c r="E6" s="180"/>
      <c r="F6" s="181"/>
    </row>
    <row r="7" spans="2:7" x14ac:dyDescent="0.2">
      <c r="B7" s="1"/>
    </row>
    <row r="8" spans="2:7" x14ac:dyDescent="0.2">
      <c r="C8" s="16" t="s">
        <v>0</v>
      </c>
      <c r="D8" s="16" t="s">
        <v>1</v>
      </c>
      <c r="E8" s="30" t="s">
        <v>2</v>
      </c>
      <c r="F8" s="31" t="s">
        <v>3</v>
      </c>
    </row>
    <row r="9" spans="2:7" x14ac:dyDescent="0.2">
      <c r="B9" s="1" t="s">
        <v>4</v>
      </c>
    </row>
    <row r="10" spans="2:7" x14ac:dyDescent="0.2">
      <c r="B10" t="s">
        <v>52</v>
      </c>
      <c r="C10" s="99">
        <v>700</v>
      </c>
      <c r="D10" s="5" t="s">
        <v>27</v>
      </c>
      <c r="E10" s="74">
        <v>10.5</v>
      </c>
      <c r="F10" s="35">
        <f>C10*E10</f>
        <v>7350</v>
      </c>
      <c r="G10" s="51"/>
    </row>
    <row r="12" spans="2:7" ht="12.75" customHeight="1" x14ac:dyDescent="0.2">
      <c r="B12" s="23"/>
      <c r="C12" s="24"/>
      <c r="D12" s="24"/>
      <c r="E12" s="25"/>
      <c r="F12" s="46"/>
    </row>
    <row r="13" spans="2:7" x14ac:dyDescent="0.2">
      <c r="B13" s="1" t="s">
        <v>7</v>
      </c>
    </row>
    <row r="14" spans="2:7" x14ac:dyDescent="0.2">
      <c r="B14" s="1" t="s">
        <v>131</v>
      </c>
    </row>
    <row r="15" spans="2:7" x14ac:dyDescent="0.2">
      <c r="B15" t="s">
        <v>53</v>
      </c>
      <c r="C15" s="99">
        <v>2</v>
      </c>
      <c r="D15" s="4" t="s">
        <v>34</v>
      </c>
      <c r="E15" s="105">
        <v>70</v>
      </c>
      <c r="F15" s="35">
        <f t="shared" ref="F15:F21" si="0">C15*E15</f>
        <v>140</v>
      </c>
    </row>
    <row r="16" spans="2:7" x14ac:dyDescent="0.2">
      <c r="B16" t="s">
        <v>9</v>
      </c>
      <c r="C16" s="99">
        <v>0.5</v>
      </c>
      <c r="D16" s="4" t="s">
        <v>10</v>
      </c>
      <c r="E16" s="105">
        <v>20</v>
      </c>
      <c r="F16" s="35">
        <f t="shared" si="0"/>
        <v>10</v>
      </c>
    </row>
    <row r="17" spans="2:7" x14ac:dyDescent="0.2">
      <c r="B17" t="s">
        <v>54</v>
      </c>
      <c r="C17" s="99">
        <v>10</v>
      </c>
      <c r="D17" s="4" t="s">
        <v>55</v>
      </c>
      <c r="E17" s="105">
        <v>28</v>
      </c>
      <c r="F17" s="35">
        <f t="shared" si="0"/>
        <v>280</v>
      </c>
    </row>
    <row r="18" spans="2:7" x14ac:dyDescent="0.2">
      <c r="B18" t="s">
        <v>56</v>
      </c>
      <c r="C18" s="99">
        <v>1</v>
      </c>
      <c r="D18" s="4" t="s">
        <v>55</v>
      </c>
      <c r="E18" s="105">
        <v>50</v>
      </c>
      <c r="F18" s="35">
        <f t="shared" si="0"/>
        <v>50</v>
      </c>
    </row>
    <row r="19" spans="2:7" x14ac:dyDescent="0.2">
      <c r="B19" t="s">
        <v>57</v>
      </c>
      <c r="C19" s="4">
        <v>1</v>
      </c>
      <c r="D19" s="4" t="s">
        <v>18</v>
      </c>
      <c r="E19" s="105">
        <v>382</v>
      </c>
      <c r="F19" s="35">
        <f t="shared" si="0"/>
        <v>382</v>
      </c>
      <c r="G19" s="51"/>
    </row>
    <row r="20" spans="2:7" x14ac:dyDescent="0.2">
      <c r="B20" t="s">
        <v>70</v>
      </c>
      <c r="C20" s="4">
        <v>1</v>
      </c>
      <c r="D20" s="4" t="s">
        <v>18</v>
      </c>
      <c r="E20" s="105">
        <v>250</v>
      </c>
      <c r="F20" s="35">
        <f t="shared" si="0"/>
        <v>250</v>
      </c>
      <c r="G20" s="51"/>
    </row>
    <row r="21" spans="2:7" x14ac:dyDescent="0.2">
      <c r="B21" t="s">
        <v>71</v>
      </c>
      <c r="C21" s="99">
        <v>50</v>
      </c>
      <c r="D21" s="5" t="s">
        <v>21</v>
      </c>
      <c r="E21" s="105">
        <v>9</v>
      </c>
      <c r="F21" s="35">
        <f t="shared" si="0"/>
        <v>450</v>
      </c>
      <c r="G21" s="51"/>
    </row>
    <row r="22" spans="2:7" x14ac:dyDescent="0.2">
      <c r="B22" t="s">
        <v>69</v>
      </c>
      <c r="C22" s="99">
        <v>1</v>
      </c>
      <c r="D22" s="5" t="s">
        <v>133</v>
      </c>
      <c r="E22" s="74"/>
      <c r="F22" s="102">
        <v>33</v>
      </c>
      <c r="G22" s="51"/>
    </row>
    <row r="23" spans="2:7" x14ac:dyDescent="0.2">
      <c r="B23" t="s">
        <v>58</v>
      </c>
      <c r="C23" s="99">
        <v>1</v>
      </c>
      <c r="D23" s="5" t="s">
        <v>133</v>
      </c>
      <c r="E23" s="74"/>
      <c r="F23" s="104">
        <v>42</v>
      </c>
      <c r="G23" s="51"/>
    </row>
    <row r="24" spans="2:7" x14ac:dyDescent="0.2">
      <c r="B24" t="s">
        <v>17</v>
      </c>
      <c r="C24" s="99">
        <v>5</v>
      </c>
      <c r="D24" s="5" t="s">
        <v>133</v>
      </c>
      <c r="E24" s="74"/>
      <c r="F24" s="104">
        <v>64.150000000000006</v>
      </c>
      <c r="G24" s="51"/>
    </row>
    <row r="25" spans="2:7" x14ac:dyDescent="0.2">
      <c r="B25" t="s">
        <v>59</v>
      </c>
      <c r="C25" s="99">
        <v>3</v>
      </c>
      <c r="D25" s="5" t="s">
        <v>133</v>
      </c>
      <c r="E25" s="74"/>
      <c r="F25" s="104">
        <v>161</v>
      </c>
      <c r="G25" s="51"/>
    </row>
    <row r="26" spans="2:7" x14ac:dyDescent="0.2">
      <c r="B26" t="s">
        <v>60</v>
      </c>
      <c r="C26" s="99">
        <v>1</v>
      </c>
      <c r="D26" s="4" t="s">
        <v>61</v>
      </c>
      <c r="E26" s="105">
        <v>75</v>
      </c>
      <c r="F26" s="35">
        <f>C26*E26</f>
        <v>75</v>
      </c>
    </row>
    <row r="27" spans="2:7" x14ac:dyDescent="0.2">
      <c r="B27" t="s">
        <v>20</v>
      </c>
      <c r="C27" s="99">
        <v>90</v>
      </c>
      <c r="D27" s="5" t="s">
        <v>21</v>
      </c>
      <c r="E27" s="105">
        <v>0.4</v>
      </c>
      <c r="F27" s="35">
        <f>C27*E27</f>
        <v>36</v>
      </c>
      <c r="G27" s="51"/>
    </row>
    <row r="28" spans="2:7" x14ac:dyDescent="0.2">
      <c r="B28" t="s">
        <v>23</v>
      </c>
      <c r="C28" s="53">
        <v>1</v>
      </c>
      <c r="D28" s="6" t="s">
        <v>18</v>
      </c>
      <c r="E28" s="106">
        <v>72.05</v>
      </c>
      <c r="F28" s="38">
        <f>C28*E28</f>
        <v>72.05</v>
      </c>
      <c r="G28" s="51"/>
    </row>
    <row r="29" spans="2:7" x14ac:dyDescent="0.2">
      <c r="B29" s="1" t="s">
        <v>24</v>
      </c>
      <c r="F29" s="39">
        <f>SUM(F15:F28)</f>
        <v>2045.2</v>
      </c>
    </row>
    <row r="31" spans="2:7" x14ac:dyDescent="0.2">
      <c r="B31" s="1" t="s">
        <v>25</v>
      </c>
    </row>
    <row r="32" spans="2:7" x14ac:dyDescent="0.2">
      <c r="B32" t="s">
        <v>26</v>
      </c>
      <c r="C32" s="4">
        <f>C10</f>
        <v>700</v>
      </c>
      <c r="D32" s="4" t="s">
        <v>27</v>
      </c>
      <c r="E32" s="105">
        <v>1.25</v>
      </c>
      <c r="F32" s="35">
        <f>C32*E32</f>
        <v>875</v>
      </c>
    </row>
    <row r="33" spans="2:7" x14ac:dyDescent="0.2">
      <c r="B33" t="s">
        <v>62</v>
      </c>
      <c r="C33" s="99">
        <v>18</v>
      </c>
      <c r="D33" s="5" t="s">
        <v>21</v>
      </c>
      <c r="E33" s="105">
        <v>9</v>
      </c>
      <c r="F33" s="35">
        <f>C33*E33</f>
        <v>162</v>
      </c>
    </row>
    <row r="34" spans="2:7" x14ac:dyDescent="0.2">
      <c r="B34" t="s">
        <v>63</v>
      </c>
      <c r="C34" s="4">
        <v>1</v>
      </c>
      <c r="D34" s="4" t="s">
        <v>64</v>
      </c>
      <c r="E34" s="105">
        <v>10</v>
      </c>
      <c r="F34" s="35">
        <f>C34*E34</f>
        <v>10</v>
      </c>
    </row>
    <row r="35" spans="2:7" x14ac:dyDescent="0.2">
      <c r="B35" t="s">
        <v>28</v>
      </c>
      <c r="E35" s="74"/>
    </row>
    <row r="36" spans="2:7" x14ac:dyDescent="0.2">
      <c r="B36" t="s">
        <v>65</v>
      </c>
      <c r="C36" s="105">
        <v>1</v>
      </c>
      <c r="D36" s="4" t="s">
        <v>6</v>
      </c>
      <c r="E36" s="74"/>
      <c r="F36" s="35">
        <f>C10*C36</f>
        <v>700</v>
      </c>
      <c r="G36" s="51"/>
    </row>
    <row r="37" spans="2:7" x14ac:dyDescent="0.2">
      <c r="B37" t="s">
        <v>66</v>
      </c>
      <c r="C37" s="105">
        <v>1.5</v>
      </c>
      <c r="D37" s="4" t="s">
        <v>6</v>
      </c>
      <c r="E37" s="74"/>
      <c r="F37" s="35">
        <f>C10*C37</f>
        <v>1050</v>
      </c>
      <c r="G37" s="51"/>
    </row>
    <row r="38" spans="2:7" x14ac:dyDescent="0.2">
      <c r="B38" t="s">
        <v>67</v>
      </c>
      <c r="C38" s="95">
        <v>0.1</v>
      </c>
      <c r="D38" s="4" t="s">
        <v>32</v>
      </c>
      <c r="E38" s="74"/>
      <c r="F38" s="35">
        <f>C38*F10</f>
        <v>735</v>
      </c>
    </row>
    <row r="39" spans="2:7" x14ac:dyDescent="0.2">
      <c r="B39" t="s">
        <v>68</v>
      </c>
      <c r="C39" s="99">
        <v>10</v>
      </c>
      <c r="D39" s="5" t="s">
        <v>21</v>
      </c>
      <c r="E39" s="105">
        <v>9</v>
      </c>
      <c r="F39" s="35">
        <f>C39*E39</f>
        <v>90</v>
      </c>
    </row>
    <row r="40" spans="2:7" x14ac:dyDescent="0.2">
      <c r="B40" t="s">
        <v>35</v>
      </c>
      <c r="C40" s="6">
        <f>C32</f>
        <v>700</v>
      </c>
      <c r="D40" s="6" t="s">
        <v>27</v>
      </c>
      <c r="E40" s="106">
        <v>0.09</v>
      </c>
      <c r="F40" s="38">
        <f>C40*E40</f>
        <v>63</v>
      </c>
      <c r="G40" s="51"/>
    </row>
    <row r="41" spans="2:7" x14ac:dyDescent="0.2">
      <c r="B41" s="1" t="s">
        <v>36</v>
      </c>
      <c r="F41" s="39">
        <f>SUM(F32:F40)</f>
        <v>3685</v>
      </c>
    </row>
    <row r="43" spans="2:7" x14ac:dyDescent="0.2">
      <c r="B43" s="3" t="s">
        <v>175</v>
      </c>
      <c r="F43" s="36">
        <f>(0.05*0.5*F29)+(0.05*0.25*F41)</f>
        <v>97.192499999999995</v>
      </c>
    </row>
    <row r="45" spans="2:7" x14ac:dyDescent="0.2">
      <c r="B45" s="1" t="s">
        <v>37</v>
      </c>
      <c r="C45" s="18"/>
      <c r="D45" s="18"/>
      <c r="E45" s="21"/>
      <c r="F45" s="39">
        <f>SUM(F29+F41+F43)</f>
        <v>5827.3924999999999</v>
      </c>
    </row>
    <row r="47" spans="2:7" x14ac:dyDescent="0.2">
      <c r="B47" s="13" t="s">
        <v>38</v>
      </c>
      <c r="C47" s="14"/>
      <c r="D47" s="14"/>
      <c r="E47" s="29"/>
      <c r="F47" s="31">
        <f>F10-F45</f>
        <v>1522.6075000000001</v>
      </c>
    </row>
    <row r="49" spans="2:7" ht="12.75" customHeight="1" x14ac:dyDescent="0.2">
      <c r="B49" s="23"/>
      <c r="C49" s="24"/>
      <c r="D49" s="24"/>
      <c r="E49" s="25"/>
      <c r="F49" s="46"/>
    </row>
    <row r="50" spans="2:7" x14ac:dyDescent="0.2">
      <c r="B50" s="1" t="s">
        <v>39</v>
      </c>
    </row>
    <row r="51" spans="2:7" x14ac:dyDescent="0.2">
      <c r="B51" t="s">
        <v>40</v>
      </c>
      <c r="F51" s="37">
        <v>109.54</v>
      </c>
      <c r="G51" s="51"/>
    </row>
    <row r="52" spans="2:7" x14ac:dyDescent="0.2">
      <c r="B52" t="s">
        <v>41</v>
      </c>
      <c r="F52" s="37">
        <v>189.57</v>
      </c>
    </row>
    <row r="53" spans="2:7" x14ac:dyDescent="0.2">
      <c r="B53" t="s">
        <v>42</v>
      </c>
      <c r="F53" s="37">
        <v>5</v>
      </c>
    </row>
    <row r="54" spans="2:7" x14ac:dyDescent="0.2">
      <c r="B54" t="s">
        <v>43</v>
      </c>
      <c r="C54" s="6"/>
      <c r="D54" s="6"/>
      <c r="E54" s="28"/>
      <c r="F54" s="54">
        <f>0.005*F10</f>
        <v>36.75</v>
      </c>
    </row>
    <row r="55" spans="2:7" x14ac:dyDescent="0.2">
      <c r="B55" s="1" t="s">
        <v>44</v>
      </c>
      <c r="F55" s="44">
        <f>SUM(F51:F54)</f>
        <v>340.86</v>
      </c>
    </row>
    <row r="57" spans="2:7" x14ac:dyDescent="0.2">
      <c r="B57" s="1" t="s">
        <v>45</v>
      </c>
      <c r="F57" s="39">
        <f>F45+F55</f>
        <v>6168.2524999999996</v>
      </c>
    </row>
    <row r="59" spans="2:7" x14ac:dyDescent="0.2">
      <c r="B59" s="13" t="s">
        <v>46</v>
      </c>
      <c r="C59" s="16"/>
      <c r="D59" s="16"/>
      <c r="E59" s="30"/>
      <c r="F59" s="31">
        <f>F10-F57</f>
        <v>1181.7475000000004</v>
      </c>
    </row>
    <row r="61" spans="2:7" x14ac:dyDescent="0.2">
      <c r="B61" t="s">
        <v>47</v>
      </c>
      <c r="C61" s="99">
        <v>20</v>
      </c>
      <c r="D61" s="5" t="s">
        <v>21</v>
      </c>
      <c r="E61" s="105">
        <v>15</v>
      </c>
      <c r="F61" s="35">
        <f>C61*E61</f>
        <v>300</v>
      </c>
    </row>
    <row r="63" spans="2:7" x14ac:dyDescent="0.2">
      <c r="B63" s="13" t="s">
        <v>48</v>
      </c>
      <c r="C63" s="14"/>
      <c r="D63" s="14"/>
      <c r="E63" s="29"/>
      <c r="F63" s="31">
        <f>F59-F61</f>
        <v>881.7475000000004</v>
      </c>
    </row>
    <row r="64" spans="2:7" ht="12.75" customHeight="1" x14ac:dyDescent="0.2"/>
    <row r="65" spans="1:6" ht="12" customHeight="1" x14ac:dyDescent="0.2">
      <c r="A65" s="47"/>
      <c r="B65" s="2"/>
      <c r="C65"/>
      <c r="D65"/>
      <c r="E65"/>
      <c r="F65"/>
    </row>
    <row r="66" spans="1:6" ht="24" customHeight="1" x14ac:dyDescent="0.2">
      <c r="A66" s="47"/>
      <c r="B66" s="182"/>
      <c r="C66" s="182"/>
      <c r="D66" s="182"/>
      <c r="E66" s="182"/>
      <c r="F66" s="182"/>
    </row>
    <row r="67" spans="1:6" ht="12.75" customHeight="1" x14ac:dyDescent="0.2">
      <c r="A67" s="47"/>
      <c r="B67" s="2"/>
      <c r="C67"/>
      <c r="D67"/>
      <c r="E67"/>
      <c r="F67"/>
    </row>
    <row r="68" spans="1:6" ht="12" customHeight="1" x14ac:dyDescent="0.2">
      <c r="A68" s="48"/>
      <c r="B68" s="2"/>
      <c r="C68"/>
      <c r="D68"/>
      <c r="E68"/>
      <c r="F68"/>
    </row>
    <row r="69" spans="1:6" x14ac:dyDescent="0.2">
      <c r="A69" s="47"/>
      <c r="B69" s="2"/>
      <c r="C69"/>
      <c r="D69"/>
      <c r="E69"/>
      <c r="F69"/>
    </row>
    <row r="70" spans="1:6" x14ac:dyDescent="0.2">
      <c r="A70" s="47"/>
      <c r="B70" s="2"/>
      <c r="C70"/>
      <c r="D70"/>
      <c r="E70"/>
      <c r="F70"/>
    </row>
    <row r="71" spans="1:6" x14ac:dyDescent="0.2">
      <c r="A71" s="47"/>
      <c r="B71" s="2"/>
      <c r="C71"/>
      <c r="D71"/>
      <c r="E71"/>
      <c r="F71"/>
    </row>
    <row r="72" spans="1:6" ht="24.75" customHeight="1" x14ac:dyDescent="0.2">
      <c r="A72" s="47"/>
      <c r="B72" s="182"/>
      <c r="C72" s="182"/>
      <c r="D72" s="182"/>
      <c r="E72" s="182"/>
      <c r="F72" s="182"/>
    </row>
    <row r="74" spans="1:6" x14ac:dyDescent="0.2">
      <c r="B74" s="23"/>
      <c r="C74" s="24"/>
      <c r="D74" s="24"/>
      <c r="E74" s="25"/>
      <c r="F74" s="46"/>
    </row>
    <row r="76" spans="1:6" x14ac:dyDescent="0.2">
      <c r="B76" s="175" t="s">
        <v>132</v>
      </c>
      <c r="C76" s="175"/>
      <c r="D76" s="175"/>
      <c r="E76" s="175"/>
      <c r="F76" s="175"/>
    </row>
  </sheetData>
  <sheetProtection password="CF0F" sheet="1" objects="1" scenarios="1"/>
  <mergeCells count="4">
    <mergeCell ref="B76:F76"/>
    <mergeCell ref="B66:F66"/>
    <mergeCell ref="B72:F72"/>
    <mergeCell ref="E4:F6"/>
  </mergeCells>
  <hyperlinks>
    <hyperlink ref="E4:F6" location="Contents" display="Return to Table of Contents"/>
  </hyperlinks>
  <pageMargins left="0.75" right="0.75" top="1" bottom="1" header="0.5" footer="0.5"/>
  <pageSetup scale="64"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G66"/>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20" customWidth="1"/>
    <col min="6" max="6" width="11.28515625" style="36" customWidth="1"/>
  </cols>
  <sheetData>
    <row r="2" spans="2:7" x14ac:dyDescent="0.2">
      <c r="B2" s="1" t="s">
        <v>135</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0" t="s">
        <v>2</v>
      </c>
      <c r="F8" s="31" t="s">
        <v>3</v>
      </c>
    </row>
    <row r="9" spans="2:7" x14ac:dyDescent="0.2">
      <c r="B9" s="1" t="s">
        <v>4</v>
      </c>
    </row>
    <row r="10" spans="2:7" x14ac:dyDescent="0.2">
      <c r="B10" t="s">
        <v>72</v>
      </c>
      <c r="C10" s="99">
        <v>700</v>
      </c>
      <c r="D10" s="5" t="s">
        <v>27</v>
      </c>
      <c r="E10" s="105">
        <v>9.5</v>
      </c>
      <c r="F10" s="35">
        <f>C10*E10</f>
        <v>6650</v>
      </c>
      <c r="G10" s="2"/>
    </row>
    <row r="12" spans="2:7" ht="12.75" customHeight="1" x14ac:dyDescent="0.2">
      <c r="B12" s="23"/>
      <c r="C12" s="24"/>
      <c r="D12" s="24"/>
      <c r="E12" s="25"/>
      <c r="F12" s="46"/>
    </row>
    <row r="13" spans="2:7" x14ac:dyDescent="0.2">
      <c r="B13" s="1" t="s">
        <v>7</v>
      </c>
    </row>
    <row r="14" spans="2:7" x14ac:dyDescent="0.2">
      <c r="B14" s="1" t="s">
        <v>131</v>
      </c>
    </row>
    <row r="15" spans="2:7" x14ac:dyDescent="0.2">
      <c r="B15" t="s">
        <v>73</v>
      </c>
      <c r="C15" s="99">
        <v>7</v>
      </c>
      <c r="D15" s="5" t="s">
        <v>74</v>
      </c>
      <c r="E15" s="105">
        <v>45</v>
      </c>
      <c r="F15" s="35">
        <f>C15*E15</f>
        <v>315</v>
      </c>
    </row>
    <row r="16" spans="2:7" x14ac:dyDescent="0.2">
      <c r="B16" t="s">
        <v>9</v>
      </c>
      <c r="C16" s="99">
        <v>0.5</v>
      </c>
      <c r="D16" s="4" t="s">
        <v>10</v>
      </c>
      <c r="E16" s="105">
        <v>20</v>
      </c>
      <c r="F16" s="35">
        <f>C16*E16</f>
        <v>10</v>
      </c>
    </row>
    <row r="17" spans="2:7" x14ac:dyDescent="0.2">
      <c r="B17" t="s">
        <v>75</v>
      </c>
      <c r="C17" s="99">
        <v>10</v>
      </c>
      <c r="D17" s="4" t="s">
        <v>55</v>
      </c>
      <c r="E17" s="105">
        <v>28</v>
      </c>
      <c r="F17" s="35">
        <f>C17*E17</f>
        <v>280</v>
      </c>
    </row>
    <row r="18" spans="2:7" x14ac:dyDescent="0.2">
      <c r="B18" t="s">
        <v>57</v>
      </c>
      <c r="C18" s="4">
        <v>1</v>
      </c>
      <c r="D18" s="4" t="s">
        <v>18</v>
      </c>
      <c r="E18" s="105">
        <v>382</v>
      </c>
      <c r="F18" s="35">
        <f>C18*E18</f>
        <v>382</v>
      </c>
      <c r="G18" s="2"/>
    </row>
    <row r="19" spans="2:7" x14ac:dyDescent="0.2">
      <c r="B19" t="s">
        <v>69</v>
      </c>
      <c r="C19" s="4">
        <v>1</v>
      </c>
      <c r="D19" s="4" t="s">
        <v>18</v>
      </c>
      <c r="E19" s="74"/>
      <c r="F19" s="102">
        <v>26.25</v>
      </c>
      <c r="G19" s="2"/>
    </row>
    <row r="20" spans="2:7" x14ac:dyDescent="0.2">
      <c r="B20" t="s">
        <v>17</v>
      </c>
      <c r="C20" s="99">
        <v>5</v>
      </c>
      <c r="D20" s="5" t="s">
        <v>133</v>
      </c>
      <c r="E20" s="74"/>
      <c r="F20" s="104">
        <v>51.06</v>
      </c>
      <c r="G20" s="2"/>
    </row>
    <row r="21" spans="2:7" x14ac:dyDescent="0.2">
      <c r="B21" t="s">
        <v>59</v>
      </c>
      <c r="C21" s="99">
        <v>3</v>
      </c>
      <c r="D21" s="5" t="s">
        <v>133</v>
      </c>
      <c r="E21" s="74"/>
      <c r="F21" s="104">
        <v>130.71</v>
      </c>
      <c r="G21" s="2"/>
    </row>
    <row r="22" spans="2:7" x14ac:dyDescent="0.2">
      <c r="B22" t="s">
        <v>20</v>
      </c>
      <c r="C22" s="99">
        <v>90</v>
      </c>
      <c r="D22" s="5" t="s">
        <v>21</v>
      </c>
      <c r="E22" s="105">
        <v>0.4</v>
      </c>
      <c r="F22" s="35">
        <f>C22*E22</f>
        <v>36</v>
      </c>
      <c r="G22" s="2"/>
    </row>
    <row r="23" spans="2:7" x14ac:dyDescent="0.2">
      <c r="B23" t="s">
        <v>22</v>
      </c>
      <c r="C23" s="99">
        <v>25</v>
      </c>
      <c r="D23" s="5" t="s">
        <v>21</v>
      </c>
      <c r="E23" s="105">
        <v>9</v>
      </c>
      <c r="F23" s="35">
        <f>C23*E23</f>
        <v>225</v>
      </c>
    </row>
    <row r="24" spans="2:7" x14ac:dyDescent="0.2">
      <c r="B24" t="s">
        <v>23</v>
      </c>
      <c r="C24" s="53">
        <v>1</v>
      </c>
      <c r="D24" s="6" t="s">
        <v>18</v>
      </c>
      <c r="E24" s="106">
        <f>72.05</f>
        <v>72.05</v>
      </c>
      <c r="F24" s="38">
        <f>C24*E24</f>
        <v>72.05</v>
      </c>
    </row>
    <row r="25" spans="2:7" x14ac:dyDescent="0.2">
      <c r="B25" s="1" t="s">
        <v>24</v>
      </c>
      <c r="F25" s="39">
        <f>SUM(F15:F24)</f>
        <v>1528.07</v>
      </c>
      <c r="G25" s="2"/>
    </row>
    <row r="26" spans="2:7" x14ac:dyDescent="0.2">
      <c r="G26" s="2"/>
    </row>
    <row r="27" spans="2:7" x14ac:dyDescent="0.2">
      <c r="B27" s="1" t="s">
        <v>25</v>
      </c>
    </row>
    <row r="28" spans="2:7" x14ac:dyDescent="0.2">
      <c r="B28" t="s">
        <v>26</v>
      </c>
      <c r="C28" s="4">
        <f>C10</f>
        <v>700</v>
      </c>
      <c r="D28" s="4" t="s">
        <v>27</v>
      </c>
      <c r="E28" s="105">
        <v>1.1000000000000001</v>
      </c>
      <c r="F28" s="35">
        <f>C28*E28</f>
        <v>770.00000000000011</v>
      </c>
    </row>
    <row r="29" spans="2:7" x14ac:dyDescent="0.2">
      <c r="B29" t="s">
        <v>62</v>
      </c>
      <c r="C29" s="99">
        <v>18</v>
      </c>
      <c r="D29" s="5" t="s">
        <v>21</v>
      </c>
      <c r="E29" s="105">
        <v>9</v>
      </c>
      <c r="F29" s="35">
        <f>C29*E29</f>
        <v>162</v>
      </c>
    </row>
    <row r="30" spans="2:7" x14ac:dyDescent="0.2">
      <c r="B30" t="s">
        <v>63</v>
      </c>
      <c r="C30" s="4">
        <v>1</v>
      </c>
      <c r="D30" s="4" t="s">
        <v>64</v>
      </c>
      <c r="E30" s="105">
        <v>10</v>
      </c>
      <c r="F30" s="35">
        <f>C30*E30</f>
        <v>10</v>
      </c>
    </row>
    <row r="31" spans="2:7" x14ac:dyDescent="0.2">
      <c r="B31" t="s">
        <v>28</v>
      </c>
      <c r="E31" s="74"/>
    </row>
    <row r="32" spans="2:7" x14ac:dyDescent="0.2">
      <c r="B32" t="s">
        <v>65</v>
      </c>
      <c r="C32" s="105">
        <v>1</v>
      </c>
      <c r="D32" s="4" t="s">
        <v>6</v>
      </c>
      <c r="E32" s="74"/>
      <c r="F32" s="35">
        <f>C10*C32</f>
        <v>700</v>
      </c>
      <c r="G32" s="2"/>
    </row>
    <row r="33" spans="2:7" x14ac:dyDescent="0.2">
      <c r="B33" t="s">
        <v>76</v>
      </c>
      <c r="C33" s="105">
        <v>1.35</v>
      </c>
      <c r="D33" s="4" t="s">
        <v>6</v>
      </c>
      <c r="E33" s="74"/>
      <c r="F33" s="35">
        <f>C10*C33</f>
        <v>945.00000000000011</v>
      </c>
      <c r="G33" s="2"/>
    </row>
    <row r="34" spans="2:7" x14ac:dyDescent="0.2">
      <c r="B34" t="s">
        <v>67</v>
      </c>
      <c r="C34" s="95">
        <v>0.1</v>
      </c>
      <c r="D34" s="4" t="s">
        <v>32</v>
      </c>
      <c r="E34" s="74"/>
      <c r="F34" s="35">
        <f>C34*F10</f>
        <v>665</v>
      </c>
      <c r="G34" s="2"/>
    </row>
    <row r="35" spans="2:7" x14ac:dyDescent="0.2">
      <c r="B35" t="s">
        <v>68</v>
      </c>
      <c r="C35" s="99">
        <v>10</v>
      </c>
      <c r="D35" s="4" t="s">
        <v>21</v>
      </c>
      <c r="E35" s="105">
        <v>9</v>
      </c>
      <c r="F35" s="35">
        <f>C35*E35</f>
        <v>90</v>
      </c>
      <c r="G35" s="2"/>
    </row>
    <row r="36" spans="2:7" x14ac:dyDescent="0.2">
      <c r="B36" t="s">
        <v>35</v>
      </c>
      <c r="C36" s="4">
        <f>C28</f>
        <v>700</v>
      </c>
      <c r="D36" s="4" t="s">
        <v>27</v>
      </c>
      <c r="E36" s="105">
        <v>0.09</v>
      </c>
      <c r="F36" s="35">
        <f>C36*E36</f>
        <v>63</v>
      </c>
      <c r="G36" s="2"/>
    </row>
    <row r="37" spans="2:7" x14ac:dyDescent="0.2">
      <c r="B37" s="1" t="s">
        <v>36</v>
      </c>
      <c r="C37" s="6"/>
      <c r="D37" s="6"/>
      <c r="E37" s="28"/>
      <c r="F37" s="49">
        <f>SUM(F28:F36)</f>
        <v>3405</v>
      </c>
    </row>
    <row r="39" spans="2:7" x14ac:dyDescent="0.2">
      <c r="B39" s="3" t="s">
        <v>175</v>
      </c>
      <c r="F39" s="36">
        <f>(0.05*0.5*F25)+(0.05*0.25*F37)</f>
        <v>80.764250000000004</v>
      </c>
    </row>
    <row r="41" spans="2:7" x14ac:dyDescent="0.2">
      <c r="B41" s="1" t="s">
        <v>37</v>
      </c>
      <c r="C41" s="18"/>
      <c r="D41" s="18"/>
      <c r="E41" s="21"/>
      <c r="F41" s="39">
        <f>SUM(F25+F37+F39)</f>
        <v>5013.8342499999999</v>
      </c>
    </row>
    <row r="43" spans="2:7" x14ac:dyDescent="0.2">
      <c r="B43" s="13" t="s">
        <v>38</v>
      </c>
      <c r="C43" s="14"/>
      <c r="D43" s="14"/>
      <c r="E43" s="29"/>
      <c r="F43" s="31">
        <f>F10-F41</f>
        <v>1636.1657500000001</v>
      </c>
    </row>
    <row r="45" spans="2:7" ht="13.5" customHeight="1" x14ac:dyDescent="0.2">
      <c r="B45" s="23"/>
      <c r="C45" s="24"/>
      <c r="D45" s="24"/>
      <c r="E45" s="25"/>
      <c r="F45" s="46"/>
    </row>
    <row r="46" spans="2:7" x14ac:dyDescent="0.2">
      <c r="B46" s="1" t="s">
        <v>39</v>
      </c>
    </row>
    <row r="47" spans="2:7" x14ac:dyDescent="0.2">
      <c r="B47" t="s">
        <v>40</v>
      </c>
      <c r="F47" s="37">
        <f>123.54</f>
        <v>123.54</v>
      </c>
      <c r="G47" s="2"/>
    </row>
    <row r="48" spans="2:7" x14ac:dyDescent="0.2">
      <c r="B48" t="s">
        <v>41</v>
      </c>
      <c r="F48" s="37">
        <v>189.57</v>
      </c>
      <c r="G48" s="2"/>
    </row>
    <row r="49" spans="2:7" x14ac:dyDescent="0.2">
      <c r="B49" t="s">
        <v>42</v>
      </c>
      <c r="F49" s="37">
        <v>5</v>
      </c>
      <c r="G49" s="2"/>
    </row>
    <row r="50" spans="2:7" x14ac:dyDescent="0.2">
      <c r="B50" t="s">
        <v>43</v>
      </c>
      <c r="C50" s="6"/>
      <c r="D50" s="6"/>
      <c r="E50" s="28"/>
      <c r="F50" s="54">
        <f>0.005*F10</f>
        <v>33.25</v>
      </c>
    </row>
    <row r="51" spans="2:7" x14ac:dyDescent="0.2">
      <c r="B51" s="1" t="s">
        <v>44</v>
      </c>
      <c r="F51" s="44">
        <f>SUM(F47:F50)</f>
        <v>351.36</v>
      </c>
    </row>
    <row r="53" spans="2:7" x14ac:dyDescent="0.2">
      <c r="B53" s="1" t="s">
        <v>45</v>
      </c>
      <c r="F53" s="39">
        <f>F41+F51</f>
        <v>5365.1942499999996</v>
      </c>
    </row>
    <row r="55" spans="2:7" x14ac:dyDescent="0.2">
      <c r="B55" s="13" t="s">
        <v>46</v>
      </c>
      <c r="C55" s="16"/>
      <c r="D55" s="16"/>
      <c r="E55" s="30"/>
      <c r="F55" s="31">
        <f>F10-F53</f>
        <v>1284.8057500000004</v>
      </c>
    </row>
    <row r="57" spans="2:7" x14ac:dyDescent="0.2">
      <c r="B57" t="s">
        <v>47</v>
      </c>
      <c r="C57" s="99">
        <v>50</v>
      </c>
      <c r="D57" s="4" t="s">
        <v>21</v>
      </c>
      <c r="E57" s="105">
        <v>15</v>
      </c>
      <c r="F57" s="35">
        <f>C57*E57</f>
        <v>750</v>
      </c>
    </row>
    <row r="59" spans="2:7" x14ac:dyDescent="0.2">
      <c r="B59" s="13" t="s">
        <v>48</v>
      </c>
      <c r="C59" s="14"/>
      <c r="D59" s="14"/>
      <c r="E59" s="29"/>
      <c r="F59" s="31">
        <f>F55-F57</f>
        <v>534.80575000000044</v>
      </c>
    </row>
    <row r="61" spans="2:7" ht="12.75" customHeight="1" x14ac:dyDescent="0.2">
      <c r="B61" s="23"/>
      <c r="C61" s="24"/>
      <c r="D61" s="24"/>
      <c r="E61" s="25"/>
      <c r="F61" s="46"/>
    </row>
    <row r="62" spans="2:7" ht="12.75" customHeight="1" x14ac:dyDescent="0.2">
      <c r="B62" s="2"/>
    </row>
    <row r="63" spans="2:7" x14ac:dyDescent="0.2">
      <c r="B63" s="175" t="s">
        <v>132</v>
      </c>
      <c r="C63" s="175"/>
      <c r="D63" s="175"/>
      <c r="E63" s="175"/>
      <c r="F63" s="175"/>
    </row>
    <row r="64" spans="2:7" x14ac:dyDescent="0.2">
      <c r="B64" s="2"/>
    </row>
    <row r="65" spans="2:2" x14ac:dyDescent="0.2">
      <c r="B65" s="2"/>
    </row>
    <row r="66" spans="2:2" x14ac:dyDescent="0.2">
      <c r="B66" s="2"/>
    </row>
  </sheetData>
  <sheetProtection password="CF0F" sheet="1" objects="1" scenarios="1"/>
  <mergeCells count="2">
    <mergeCell ref="B63:F63"/>
    <mergeCell ref="E4:F6"/>
  </mergeCells>
  <hyperlinks>
    <hyperlink ref="E4:F6" location="Contents" display="Return to Table of Contents"/>
  </hyperlinks>
  <pageMargins left="0.75" right="0.75" top="1" bottom="1" header="0.5" footer="0.5"/>
  <pageSetup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G71"/>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20" customWidth="1"/>
    <col min="6" max="6" width="11.28515625" style="36" customWidth="1"/>
  </cols>
  <sheetData>
    <row r="2" spans="2:7" x14ac:dyDescent="0.2">
      <c r="B2" s="1" t="s">
        <v>136</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0" t="s">
        <v>2</v>
      </c>
      <c r="F8" s="31" t="s">
        <v>3</v>
      </c>
    </row>
    <row r="9" spans="2:7" x14ac:dyDescent="0.2">
      <c r="B9" s="1" t="s">
        <v>4</v>
      </c>
    </row>
    <row r="10" spans="2:7" x14ac:dyDescent="0.2">
      <c r="B10" s="3" t="s">
        <v>137</v>
      </c>
      <c r="C10" s="99">
        <v>7200</v>
      </c>
      <c r="D10" s="5" t="s">
        <v>82</v>
      </c>
      <c r="E10" s="105">
        <v>1</v>
      </c>
      <c r="F10" s="35">
        <f>C10*E10</f>
        <v>7200</v>
      </c>
      <c r="G10" s="2"/>
    </row>
    <row r="12" spans="2:7" x14ac:dyDescent="0.2">
      <c r="B12" s="23"/>
      <c r="C12" s="24"/>
      <c r="D12" s="24"/>
      <c r="E12" s="25"/>
      <c r="F12" s="46"/>
    </row>
    <row r="13" spans="2:7" x14ac:dyDescent="0.2">
      <c r="B13" s="1" t="s">
        <v>7</v>
      </c>
    </row>
    <row r="14" spans="2:7" x14ac:dyDescent="0.2">
      <c r="B14" s="1" t="s">
        <v>131</v>
      </c>
    </row>
    <row r="15" spans="2:7" x14ac:dyDescent="0.2">
      <c r="B15" t="s">
        <v>73</v>
      </c>
      <c r="C15" s="99">
        <v>3.6</v>
      </c>
      <c r="D15" s="5" t="s">
        <v>74</v>
      </c>
      <c r="E15" s="114">
        <v>100</v>
      </c>
      <c r="F15" s="35">
        <f>C15*E15</f>
        <v>360</v>
      </c>
    </row>
    <row r="16" spans="2:7" x14ac:dyDescent="0.2">
      <c r="B16" t="s">
        <v>9</v>
      </c>
      <c r="C16" s="99">
        <v>0.5</v>
      </c>
      <c r="D16" s="4" t="s">
        <v>10</v>
      </c>
      <c r="E16" s="114">
        <v>20</v>
      </c>
      <c r="F16" s="35">
        <f>C16*E16</f>
        <v>10</v>
      </c>
    </row>
    <row r="17" spans="2:7" x14ac:dyDescent="0.2">
      <c r="B17" t="s">
        <v>54</v>
      </c>
      <c r="C17" s="99">
        <v>10</v>
      </c>
      <c r="D17" s="4" t="s">
        <v>55</v>
      </c>
      <c r="E17" s="114">
        <v>28</v>
      </c>
      <c r="F17" s="35">
        <f>C17*E17</f>
        <v>280</v>
      </c>
    </row>
    <row r="18" spans="2:7" x14ac:dyDescent="0.2">
      <c r="B18" t="s">
        <v>56</v>
      </c>
      <c r="C18" s="99">
        <v>1.2</v>
      </c>
      <c r="D18" s="4" t="s">
        <v>55</v>
      </c>
      <c r="E18" s="114">
        <v>50</v>
      </c>
      <c r="F18" s="35">
        <f>C18*E18</f>
        <v>60</v>
      </c>
    </row>
    <row r="19" spans="2:7" x14ac:dyDescent="0.2">
      <c r="B19" t="s">
        <v>57</v>
      </c>
      <c r="C19" s="4">
        <v>1</v>
      </c>
      <c r="D19" s="4" t="s">
        <v>18</v>
      </c>
      <c r="E19" s="114">
        <v>382</v>
      </c>
      <c r="F19" s="35">
        <f>C19*E19</f>
        <v>382</v>
      </c>
      <c r="G19" s="2"/>
    </row>
    <row r="20" spans="2:7" x14ac:dyDescent="0.2">
      <c r="B20" t="s">
        <v>69</v>
      </c>
      <c r="C20" s="99">
        <v>4</v>
      </c>
      <c r="D20" s="4" t="s">
        <v>51</v>
      </c>
      <c r="E20" s="74"/>
      <c r="F20" s="102">
        <f>54.45</f>
        <v>54.45</v>
      </c>
      <c r="G20" s="2"/>
    </row>
    <row r="21" spans="2:7" x14ac:dyDescent="0.2">
      <c r="B21" t="s">
        <v>17</v>
      </c>
      <c r="C21" s="99">
        <v>5</v>
      </c>
      <c r="D21" s="5" t="s">
        <v>133</v>
      </c>
      <c r="E21" s="74"/>
      <c r="F21" s="104">
        <f>154.35</f>
        <v>154.35</v>
      </c>
      <c r="G21" s="2"/>
    </row>
    <row r="22" spans="2:7" x14ac:dyDescent="0.2">
      <c r="B22" t="s">
        <v>59</v>
      </c>
      <c r="C22" s="99">
        <v>3</v>
      </c>
      <c r="D22" s="5" t="s">
        <v>133</v>
      </c>
      <c r="E22" s="74"/>
      <c r="F22" s="104">
        <f>117.77</f>
        <v>117.77</v>
      </c>
      <c r="G22" s="2"/>
    </row>
    <row r="23" spans="2:7" x14ac:dyDescent="0.2">
      <c r="B23" t="s">
        <v>60</v>
      </c>
      <c r="C23" s="99">
        <v>1</v>
      </c>
      <c r="D23" s="4" t="s">
        <v>61</v>
      </c>
      <c r="E23" s="105">
        <v>75</v>
      </c>
      <c r="F23" s="35">
        <f>C23*E23</f>
        <v>75</v>
      </c>
    </row>
    <row r="24" spans="2:7" x14ac:dyDescent="0.2">
      <c r="B24" t="s">
        <v>20</v>
      </c>
      <c r="C24" s="99">
        <v>90</v>
      </c>
      <c r="D24" s="5" t="s">
        <v>21</v>
      </c>
      <c r="E24" s="105">
        <v>0.4</v>
      </c>
      <c r="F24" s="35">
        <f>C24*E24</f>
        <v>36</v>
      </c>
      <c r="G24" s="2"/>
    </row>
    <row r="25" spans="2:7" x14ac:dyDescent="0.2">
      <c r="B25" t="s">
        <v>77</v>
      </c>
      <c r="C25" s="99">
        <v>15</v>
      </c>
      <c r="D25" s="5" t="s">
        <v>21</v>
      </c>
      <c r="E25" s="105">
        <v>9</v>
      </c>
      <c r="F25" s="35">
        <f>C25*E25</f>
        <v>135</v>
      </c>
      <c r="G25" s="2"/>
    </row>
    <row r="26" spans="2:7" x14ac:dyDescent="0.2">
      <c r="B26" t="s">
        <v>23</v>
      </c>
      <c r="C26" s="53">
        <v>1</v>
      </c>
      <c r="D26" s="6" t="s">
        <v>18</v>
      </c>
      <c r="E26" s="106">
        <f>76.74</f>
        <v>76.739999999999995</v>
      </c>
      <c r="F26" s="38">
        <f>C26*E26</f>
        <v>76.739999999999995</v>
      </c>
      <c r="G26" s="2"/>
    </row>
    <row r="27" spans="2:7" x14ac:dyDescent="0.2">
      <c r="B27" s="1" t="s">
        <v>24</v>
      </c>
      <c r="F27" s="39">
        <f>SUM(F15:F26)</f>
        <v>1741.31</v>
      </c>
    </row>
    <row r="29" spans="2:7" x14ac:dyDescent="0.2">
      <c r="B29" s="1" t="s">
        <v>25</v>
      </c>
    </row>
    <row r="30" spans="2:7" x14ac:dyDescent="0.2">
      <c r="B30" t="s">
        <v>62</v>
      </c>
      <c r="C30" s="99">
        <v>18</v>
      </c>
      <c r="D30" s="4" t="s">
        <v>21</v>
      </c>
      <c r="E30" s="105">
        <v>9</v>
      </c>
      <c r="F30" s="35">
        <f>C30*E30</f>
        <v>162</v>
      </c>
    </row>
    <row r="31" spans="2:7" x14ac:dyDescent="0.2">
      <c r="B31" t="s">
        <v>63</v>
      </c>
      <c r="C31" s="4">
        <v>1</v>
      </c>
      <c r="D31" s="4" t="s">
        <v>64</v>
      </c>
      <c r="E31" s="105">
        <v>20</v>
      </c>
      <c r="F31" s="35">
        <f>C31*E31</f>
        <v>20</v>
      </c>
    </row>
    <row r="32" spans="2:7" x14ac:dyDescent="0.2">
      <c r="B32" t="s">
        <v>28</v>
      </c>
      <c r="E32" s="74"/>
    </row>
    <row r="33" spans="2:7" x14ac:dyDescent="0.2">
      <c r="B33" t="s">
        <v>65</v>
      </c>
      <c r="C33" s="108">
        <v>72</v>
      </c>
      <c r="D33" s="4" t="s">
        <v>21</v>
      </c>
      <c r="E33" s="105">
        <v>9</v>
      </c>
      <c r="F33" s="35">
        <f>C33*E33</f>
        <v>648</v>
      </c>
      <c r="G33" s="2"/>
    </row>
    <row r="34" spans="2:7" x14ac:dyDescent="0.2">
      <c r="B34" t="s">
        <v>78</v>
      </c>
      <c r="C34" s="108">
        <v>5</v>
      </c>
      <c r="D34" s="4" t="s">
        <v>21</v>
      </c>
      <c r="E34" s="105">
        <v>9</v>
      </c>
      <c r="F34" s="35">
        <f>C34*E34</f>
        <v>45</v>
      </c>
      <c r="G34" s="2"/>
    </row>
    <row r="35" spans="2:7" x14ac:dyDescent="0.2">
      <c r="B35" t="s">
        <v>79</v>
      </c>
      <c r="C35" s="69">
        <v>1</v>
      </c>
      <c r="D35" s="4" t="s">
        <v>18</v>
      </c>
      <c r="E35" s="105">
        <v>100</v>
      </c>
      <c r="F35" s="35">
        <f>C35*E35</f>
        <v>100</v>
      </c>
      <c r="G35" s="2"/>
    </row>
    <row r="36" spans="2:7" x14ac:dyDescent="0.2">
      <c r="B36" t="s">
        <v>80</v>
      </c>
      <c r="C36" s="108">
        <v>70</v>
      </c>
      <c r="D36" s="4" t="s">
        <v>81</v>
      </c>
      <c r="E36" s="105">
        <v>9.5</v>
      </c>
      <c r="F36" s="35">
        <f>C36*E36</f>
        <v>665</v>
      </c>
      <c r="G36" s="2"/>
    </row>
    <row r="37" spans="2:7" x14ac:dyDescent="0.2">
      <c r="B37" t="s">
        <v>31</v>
      </c>
      <c r="C37" s="95">
        <v>0.1</v>
      </c>
      <c r="D37" s="4" t="s">
        <v>32</v>
      </c>
      <c r="E37" s="74"/>
      <c r="F37" s="35">
        <f>C37*F10</f>
        <v>720</v>
      </c>
    </row>
    <row r="38" spans="2:7" x14ac:dyDescent="0.2">
      <c r="B38" t="s">
        <v>35</v>
      </c>
      <c r="C38" s="6">
        <f>C10</f>
        <v>7200</v>
      </c>
      <c r="D38" s="6" t="s">
        <v>82</v>
      </c>
      <c r="E38" s="106">
        <v>0.04</v>
      </c>
      <c r="F38" s="38">
        <f>C38*E38</f>
        <v>288</v>
      </c>
      <c r="G38" s="2"/>
    </row>
    <row r="40" spans="2:7" x14ac:dyDescent="0.2">
      <c r="B40" s="1" t="s">
        <v>36</v>
      </c>
      <c r="F40" s="39">
        <f>SUM(F30:F38)</f>
        <v>2648</v>
      </c>
    </row>
    <row r="42" spans="2:7" x14ac:dyDescent="0.2">
      <c r="B42" t="s">
        <v>175</v>
      </c>
      <c r="F42" s="36">
        <f>(0.05*0.5*F27)+(0.05*0.25*F40)</f>
        <v>76.632750000000001</v>
      </c>
    </row>
    <row r="44" spans="2:7" x14ac:dyDescent="0.2">
      <c r="B44" s="1" t="s">
        <v>37</v>
      </c>
      <c r="C44" s="18"/>
      <c r="D44" s="18"/>
      <c r="E44" s="21"/>
      <c r="F44" s="39">
        <f>SUM(F27+F40+F42)</f>
        <v>4465.9427499999993</v>
      </c>
    </row>
    <row r="46" spans="2:7" x14ac:dyDescent="0.2">
      <c r="B46" s="13" t="s">
        <v>38</v>
      </c>
      <c r="C46" s="14"/>
      <c r="D46" s="14"/>
      <c r="E46" s="29"/>
      <c r="F46" s="31">
        <f>F10-F44</f>
        <v>2734.0572500000007</v>
      </c>
    </row>
    <row r="48" spans="2:7" x14ac:dyDescent="0.2">
      <c r="B48" s="23"/>
      <c r="C48" s="24"/>
      <c r="D48" s="24"/>
      <c r="E48" s="25"/>
      <c r="F48" s="46"/>
    </row>
    <row r="49" spans="2:7" x14ac:dyDescent="0.2">
      <c r="B49" s="1" t="s">
        <v>39</v>
      </c>
    </row>
    <row r="50" spans="2:7" x14ac:dyDescent="0.2">
      <c r="B50" t="s">
        <v>40</v>
      </c>
      <c r="F50" s="37">
        <f>74.51</f>
        <v>74.510000000000005</v>
      </c>
      <c r="G50" s="2"/>
    </row>
    <row r="51" spans="2:7" x14ac:dyDescent="0.2">
      <c r="B51" t="s">
        <v>41</v>
      </c>
      <c r="F51" s="37">
        <v>189.57</v>
      </c>
    </row>
    <row r="52" spans="2:7" x14ac:dyDescent="0.2">
      <c r="B52" t="s">
        <v>42</v>
      </c>
      <c r="F52" s="37">
        <v>5</v>
      </c>
    </row>
    <row r="53" spans="2:7" x14ac:dyDescent="0.2">
      <c r="B53" t="s">
        <v>43</v>
      </c>
      <c r="C53" s="6"/>
      <c r="D53" s="6"/>
      <c r="E53" s="28"/>
      <c r="F53" s="54">
        <f>0.005*F10</f>
        <v>36</v>
      </c>
    </row>
    <row r="54" spans="2:7" x14ac:dyDescent="0.2">
      <c r="B54" s="1" t="s">
        <v>44</v>
      </c>
      <c r="F54" s="44">
        <f>SUM(F50:F53)</f>
        <v>305.08</v>
      </c>
    </row>
    <row r="56" spans="2:7" x14ac:dyDescent="0.2">
      <c r="B56" s="1" t="s">
        <v>45</v>
      </c>
      <c r="F56" s="39">
        <f>F44+F54</f>
        <v>4771.0227499999992</v>
      </c>
    </row>
    <row r="58" spans="2:7" x14ac:dyDescent="0.2">
      <c r="B58" s="13" t="s">
        <v>46</v>
      </c>
      <c r="C58" s="16"/>
      <c r="D58" s="16"/>
      <c r="E58" s="30"/>
      <c r="F58" s="31">
        <f>F10-F56</f>
        <v>2428.9772500000008</v>
      </c>
    </row>
    <row r="60" spans="2:7" x14ac:dyDescent="0.2">
      <c r="B60" t="s">
        <v>47</v>
      </c>
      <c r="C60" s="99">
        <v>50</v>
      </c>
      <c r="D60" s="5" t="s">
        <v>21</v>
      </c>
      <c r="E60" s="105">
        <v>15</v>
      </c>
      <c r="F60" s="35">
        <f>C60*E60</f>
        <v>750</v>
      </c>
    </row>
    <row r="62" spans="2:7" x14ac:dyDescent="0.2">
      <c r="B62" s="13" t="s">
        <v>48</v>
      </c>
      <c r="C62" s="14"/>
      <c r="D62" s="14"/>
      <c r="E62" s="29"/>
      <c r="F62" s="31">
        <f>F58-F60</f>
        <v>1678.9772500000008</v>
      </c>
    </row>
    <row r="64" spans="2:7" x14ac:dyDescent="0.2">
      <c r="B64" s="23"/>
      <c r="C64" s="24"/>
      <c r="D64" s="24"/>
      <c r="E64" s="25"/>
      <c r="F64" s="46"/>
    </row>
    <row r="65" spans="2:6" x14ac:dyDescent="0.2">
      <c r="B65" s="2"/>
    </row>
    <row r="66" spans="2:6" x14ac:dyDescent="0.2">
      <c r="B66" s="175" t="s">
        <v>132</v>
      </c>
      <c r="C66" s="175"/>
      <c r="D66" s="175"/>
      <c r="E66" s="175"/>
      <c r="F66" s="175"/>
    </row>
    <row r="67" spans="2:6" x14ac:dyDescent="0.2">
      <c r="B67" s="2"/>
    </row>
    <row r="68" spans="2:6" x14ac:dyDescent="0.2">
      <c r="B68" s="2"/>
    </row>
    <row r="69" spans="2:6" x14ac:dyDescent="0.2">
      <c r="B69" s="2"/>
    </row>
    <row r="70" spans="2:6" x14ac:dyDescent="0.2">
      <c r="B70" s="2"/>
    </row>
    <row r="71" spans="2:6" x14ac:dyDescent="0.2">
      <c r="B71" s="2"/>
    </row>
  </sheetData>
  <sheetProtection password="CF0F" sheet="1" objects="1" scenarios="1"/>
  <mergeCells count="2">
    <mergeCell ref="B66:F66"/>
    <mergeCell ref="E4:F6"/>
  </mergeCells>
  <hyperlinks>
    <hyperlink ref="E4:F6" location="Contents" display="Return to Table of Contents"/>
  </hyperlinks>
  <pageMargins left="0.75" right="0.75" top="1" bottom="1" header="0.5" footer="0.5"/>
  <pageSetup scale="7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G69"/>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1" spans="2:7" ht="13.15" customHeight="1" x14ac:dyDescent="0.2"/>
    <row r="2" spans="2:7" ht="13.15" customHeight="1" x14ac:dyDescent="0.2">
      <c r="B2" s="1" t="s">
        <v>139</v>
      </c>
    </row>
    <row r="3" spans="2:7" ht="13.15" customHeight="1" thickBot="1" x14ac:dyDescent="0.25">
      <c r="B3" s="1" t="s">
        <v>194</v>
      </c>
    </row>
    <row r="4" spans="2:7" ht="13.15" customHeight="1" x14ac:dyDescent="0.2">
      <c r="B4" s="1"/>
      <c r="E4" s="176" t="s">
        <v>171</v>
      </c>
      <c r="F4" s="177"/>
    </row>
    <row r="5" spans="2:7" ht="13.15" customHeight="1" x14ac:dyDescent="0.2">
      <c r="B5" s="1"/>
      <c r="E5" s="178"/>
      <c r="F5" s="179"/>
    </row>
    <row r="6" spans="2:7" ht="13.15" customHeight="1" thickBot="1" x14ac:dyDescent="0.25">
      <c r="B6" s="1"/>
      <c r="E6" s="180"/>
      <c r="F6" s="181"/>
    </row>
    <row r="7" spans="2:7" ht="13.15" customHeight="1" x14ac:dyDescent="0.2">
      <c r="B7" s="1"/>
    </row>
    <row r="8" spans="2:7" ht="13.15" customHeight="1" x14ac:dyDescent="0.2">
      <c r="C8" s="16" t="s">
        <v>0</v>
      </c>
      <c r="D8" s="16" t="s">
        <v>1</v>
      </c>
      <c r="E8" s="31" t="s">
        <v>2</v>
      </c>
      <c r="F8" s="31" t="s">
        <v>3</v>
      </c>
    </row>
    <row r="9" spans="2:7" ht="13.15" customHeight="1" x14ac:dyDescent="0.2">
      <c r="B9" s="1" t="s">
        <v>4</v>
      </c>
    </row>
    <row r="10" spans="2:7" ht="13.15" customHeight="1" x14ac:dyDescent="0.2">
      <c r="B10" s="3" t="s">
        <v>138</v>
      </c>
      <c r="C10" s="99">
        <v>600</v>
      </c>
      <c r="D10" s="5" t="s">
        <v>27</v>
      </c>
      <c r="E10" s="102">
        <v>10.5</v>
      </c>
      <c r="F10" s="35">
        <f>C10*E10</f>
        <v>6300</v>
      </c>
      <c r="G10" s="2"/>
    </row>
    <row r="11" spans="2:7" ht="13.15" customHeight="1" x14ac:dyDescent="0.2">
      <c r="E11" s="87"/>
    </row>
    <row r="12" spans="2:7" ht="13.15" customHeight="1" x14ac:dyDescent="0.2">
      <c r="B12" s="23"/>
      <c r="C12" s="24"/>
      <c r="D12" s="24"/>
      <c r="E12" s="88"/>
      <c r="F12" s="46"/>
    </row>
    <row r="13" spans="2:7" ht="13.15" customHeight="1" x14ac:dyDescent="0.2">
      <c r="B13" s="1" t="s">
        <v>7</v>
      </c>
      <c r="E13" s="87"/>
    </row>
    <row r="14" spans="2:7" ht="13.15" customHeight="1" x14ac:dyDescent="0.2">
      <c r="B14" s="1" t="s">
        <v>131</v>
      </c>
      <c r="E14" s="87"/>
    </row>
    <row r="15" spans="2:7" ht="13.15" customHeight="1" x14ac:dyDescent="0.2">
      <c r="B15" s="3" t="s">
        <v>83</v>
      </c>
      <c r="C15" s="99">
        <v>8</v>
      </c>
      <c r="D15" s="5" t="s">
        <v>12</v>
      </c>
      <c r="E15" s="102">
        <v>5</v>
      </c>
      <c r="F15" s="37">
        <f t="shared" ref="F15:F25" si="0">C15*E15</f>
        <v>40</v>
      </c>
    </row>
    <row r="16" spans="2:7" ht="13.15" customHeight="1" x14ac:dyDescent="0.2">
      <c r="B16" s="3" t="s">
        <v>9</v>
      </c>
      <c r="C16" s="99">
        <v>0.4</v>
      </c>
      <c r="D16" s="5" t="s">
        <v>10</v>
      </c>
      <c r="E16" s="102">
        <v>20</v>
      </c>
      <c r="F16" s="37">
        <f t="shared" si="0"/>
        <v>8</v>
      </c>
    </row>
    <row r="17" spans="2:7" ht="13.15" customHeight="1" x14ac:dyDescent="0.2">
      <c r="B17" s="3" t="s">
        <v>75</v>
      </c>
      <c r="C17" s="99">
        <v>10</v>
      </c>
      <c r="D17" s="5" t="s">
        <v>55</v>
      </c>
      <c r="E17" s="102">
        <v>28</v>
      </c>
      <c r="F17" s="37">
        <f t="shared" si="0"/>
        <v>280</v>
      </c>
    </row>
    <row r="18" spans="2:7" ht="13.15" customHeight="1" x14ac:dyDescent="0.2">
      <c r="B18" s="3" t="s">
        <v>84</v>
      </c>
      <c r="C18" s="99">
        <v>2</v>
      </c>
      <c r="D18" s="5" t="s">
        <v>55</v>
      </c>
      <c r="E18" s="102">
        <v>50</v>
      </c>
      <c r="F18" s="37">
        <f t="shared" si="0"/>
        <v>100</v>
      </c>
    </row>
    <row r="19" spans="2:7" ht="13.15" customHeight="1" x14ac:dyDescent="0.2">
      <c r="B19" s="3" t="s">
        <v>57</v>
      </c>
      <c r="C19" s="5">
        <v>1</v>
      </c>
      <c r="D19" s="5" t="s">
        <v>18</v>
      </c>
      <c r="E19" s="102">
        <v>382</v>
      </c>
      <c r="F19" s="37">
        <f t="shared" si="0"/>
        <v>382</v>
      </c>
      <c r="G19" s="2"/>
    </row>
    <row r="20" spans="2:7" ht="13.15" customHeight="1" x14ac:dyDescent="0.2">
      <c r="B20" s="3" t="s">
        <v>85</v>
      </c>
      <c r="C20" s="5">
        <v>1</v>
      </c>
      <c r="D20" s="5" t="s">
        <v>18</v>
      </c>
      <c r="E20" s="102">
        <v>6.5</v>
      </c>
      <c r="F20" s="37">
        <f t="shared" si="0"/>
        <v>6.5</v>
      </c>
      <c r="G20" s="2"/>
    </row>
    <row r="21" spans="2:7" ht="13.15" customHeight="1" x14ac:dyDescent="0.2">
      <c r="B21" s="3" t="s">
        <v>17</v>
      </c>
      <c r="C21" s="5">
        <v>1</v>
      </c>
      <c r="D21" s="5" t="s">
        <v>18</v>
      </c>
      <c r="E21" s="102">
        <v>37.08</v>
      </c>
      <c r="F21" s="37">
        <f t="shared" si="0"/>
        <v>37.08</v>
      </c>
      <c r="G21" s="2"/>
    </row>
    <row r="22" spans="2:7" ht="13.15" customHeight="1" x14ac:dyDescent="0.2">
      <c r="B22" s="3" t="s">
        <v>59</v>
      </c>
      <c r="C22" s="5">
        <v>1</v>
      </c>
      <c r="D22" s="5" t="s">
        <v>18</v>
      </c>
      <c r="E22" s="102">
        <v>132.72</v>
      </c>
      <c r="F22" s="37">
        <f t="shared" si="0"/>
        <v>132.72</v>
      </c>
      <c r="G22" s="2"/>
    </row>
    <row r="23" spans="2:7" ht="13.15" customHeight="1" x14ac:dyDescent="0.2">
      <c r="B23" s="3" t="s">
        <v>20</v>
      </c>
      <c r="C23" s="99">
        <v>90</v>
      </c>
      <c r="D23" s="5" t="s">
        <v>21</v>
      </c>
      <c r="E23" s="102">
        <v>0.4</v>
      </c>
      <c r="F23" s="37">
        <f t="shared" si="0"/>
        <v>36</v>
      </c>
      <c r="G23" s="2"/>
    </row>
    <row r="24" spans="2:7" ht="13.15" customHeight="1" x14ac:dyDescent="0.2">
      <c r="B24" s="3" t="s">
        <v>22</v>
      </c>
      <c r="C24" s="99">
        <v>5</v>
      </c>
      <c r="D24" s="5" t="s">
        <v>21</v>
      </c>
      <c r="E24" s="102">
        <v>9</v>
      </c>
      <c r="F24" s="37">
        <f t="shared" si="0"/>
        <v>45</v>
      </c>
      <c r="G24" s="2"/>
    </row>
    <row r="25" spans="2:7" ht="13.15" customHeight="1" x14ac:dyDescent="0.2">
      <c r="B25" s="3" t="s">
        <v>23</v>
      </c>
      <c r="C25" s="53">
        <v>1</v>
      </c>
      <c r="D25" s="53" t="s">
        <v>18</v>
      </c>
      <c r="E25" s="103">
        <f>36.01</f>
        <v>36.01</v>
      </c>
      <c r="F25" s="54">
        <f t="shared" si="0"/>
        <v>36.01</v>
      </c>
    </row>
    <row r="26" spans="2:7" ht="13.15" customHeight="1" x14ac:dyDescent="0.2">
      <c r="B26" s="1" t="s">
        <v>24</v>
      </c>
      <c r="C26" s="5"/>
      <c r="D26" s="5"/>
      <c r="E26" s="52"/>
      <c r="F26" s="39">
        <f>SUM(F15:F25)</f>
        <v>1103.3100000000002</v>
      </c>
      <c r="G26" s="2"/>
    </row>
    <row r="27" spans="2:7" ht="13.15" customHeight="1" x14ac:dyDescent="0.2">
      <c r="G27" s="2"/>
    </row>
    <row r="28" spans="2:7" ht="13.15" customHeight="1" x14ac:dyDescent="0.2">
      <c r="B28" s="1" t="s">
        <v>25</v>
      </c>
    </row>
    <row r="29" spans="2:7" ht="13.15" customHeight="1" x14ac:dyDescent="0.2">
      <c r="B29" t="s">
        <v>26</v>
      </c>
      <c r="C29" s="4">
        <f>C10</f>
        <v>600</v>
      </c>
      <c r="D29" s="4" t="s">
        <v>27</v>
      </c>
      <c r="E29" s="102">
        <v>1.1000000000000001</v>
      </c>
      <c r="F29" s="35">
        <f>C29*E29</f>
        <v>660</v>
      </c>
    </row>
    <row r="30" spans="2:7" ht="13.15" customHeight="1" x14ac:dyDescent="0.2">
      <c r="B30" t="s">
        <v>62</v>
      </c>
      <c r="C30" s="99">
        <v>18</v>
      </c>
      <c r="D30" s="4" t="s">
        <v>21</v>
      </c>
      <c r="E30" s="102">
        <v>9</v>
      </c>
      <c r="F30" s="35">
        <f>C30*E30</f>
        <v>162</v>
      </c>
    </row>
    <row r="31" spans="2:7" ht="13.15" customHeight="1" x14ac:dyDescent="0.2">
      <c r="B31" t="s">
        <v>63</v>
      </c>
      <c r="C31" s="5">
        <v>1</v>
      </c>
      <c r="D31" s="4" t="s">
        <v>64</v>
      </c>
      <c r="E31" s="102">
        <v>10</v>
      </c>
      <c r="F31" s="35">
        <f>C31*E31</f>
        <v>10</v>
      </c>
    </row>
    <row r="32" spans="2:7" ht="13.15" customHeight="1" x14ac:dyDescent="0.2">
      <c r="B32" t="s">
        <v>28</v>
      </c>
      <c r="C32" s="45"/>
      <c r="E32" s="72"/>
    </row>
    <row r="33" spans="2:7" ht="13.15" customHeight="1" x14ac:dyDescent="0.2">
      <c r="B33" t="s">
        <v>65</v>
      </c>
      <c r="C33" s="109">
        <v>1.9</v>
      </c>
      <c r="D33" s="4" t="s">
        <v>6</v>
      </c>
      <c r="E33" s="72"/>
      <c r="F33" s="35">
        <f>C10*C33</f>
        <v>1140</v>
      </c>
      <c r="G33" s="2"/>
    </row>
    <row r="34" spans="2:7" ht="13.15" customHeight="1" x14ac:dyDescent="0.2">
      <c r="B34" t="s">
        <v>86</v>
      </c>
      <c r="C34" s="109">
        <v>2.4</v>
      </c>
      <c r="D34" s="4" t="s">
        <v>6</v>
      </c>
      <c r="E34" s="72"/>
      <c r="F34" s="35">
        <f>C10*C34</f>
        <v>1440</v>
      </c>
      <c r="G34" s="2"/>
    </row>
    <row r="35" spans="2:7" ht="13.15" customHeight="1" x14ac:dyDescent="0.2">
      <c r="B35" t="s">
        <v>67</v>
      </c>
      <c r="C35" s="95">
        <v>0.1</v>
      </c>
      <c r="D35" s="4" t="s">
        <v>32</v>
      </c>
      <c r="E35" s="72"/>
      <c r="F35" s="35">
        <f>C35*F10</f>
        <v>630</v>
      </c>
      <c r="G35" s="2"/>
    </row>
    <row r="36" spans="2:7" ht="13.15" customHeight="1" x14ac:dyDescent="0.2">
      <c r="B36" t="s">
        <v>68</v>
      </c>
      <c r="C36" s="99">
        <v>10</v>
      </c>
      <c r="D36" s="4" t="s">
        <v>21</v>
      </c>
      <c r="E36" s="102">
        <v>9</v>
      </c>
      <c r="F36" s="35">
        <f>C36*E36</f>
        <v>90</v>
      </c>
      <c r="G36" s="2"/>
    </row>
    <row r="37" spans="2:7" ht="13.15" customHeight="1" x14ac:dyDescent="0.2">
      <c r="B37" t="s">
        <v>35</v>
      </c>
      <c r="C37" s="6">
        <f>C29</f>
        <v>600</v>
      </c>
      <c r="D37" s="6" t="s">
        <v>27</v>
      </c>
      <c r="E37" s="103">
        <v>0.09</v>
      </c>
      <c r="F37" s="38">
        <f>C37*E37</f>
        <v>54</v>
      </c>
      <c r="G37" s="2"/>
    </row>
    <row r="38" spans="2:7" ht="13.15" customHeight="1" x14ac:dyDescent="0.2">
      <c r="B38" s="1" t="s">
        <v>36</v>
      </c>
      <c r="F38" s="39">
        <f>SUM(F29:F37)</f>
        <v>4186</v>
      </c>
    </row>
    <row r="39" spans="2:7" ht="13.15" customHeight="1" x14ac:dyDescent="0.2"/>
    <row r="40" spans="2:7" ht="13.15" customHeight="1" x14ac:dyDescent="0.2">
      <c r="B40" s="3" t="s">
        <v>175</v>
      </c>
      <c r="F40" s="36">
        <f>(0.05*0.5*F26)+(0.05*0.25*F38)</f>
        <v>79.907750000000007</v>
      </c>
    </row>
    <row r="41" spans="2:7" ht="13.15" customHeight="1" x14ac:dyDescent="0.2">
      <c r="B41" s="1"/>
      <c r="C41" s="18"/>
      <c r="D41" s="18"/>
      <c r="E41" s="39"/>
      <c r="F41" s="39"/>
    </row>
    <row r="42" spans="2:7" ht="13.15" customHeight="1" x14ac:dyDescent="0.2">
      <c r="B42" s="1" t="s">
        <v>37</v>
      </c>
      <c r="C42" s="18"/>
      <c r="D42" s="18"/>
      <c r="E42" s="39"/>
      <c r="F42" s="39">
        <f>SUM(F35+F38+F40)</f>
        <v>4895.9077500000003</v>
      </c>
    </row>
    <row r="43" spans="2:7" ht="13.15" customHeight="1" x14ac:dyDescent="0.2"/>
    <row r="44" spans="2:7" ht="13.15" customHeight="1" x14ac:dyDescent="0.2">
      <c r="B44" s="13" t="s">
        <v>38</v>
      </c>
      <c r="C44" s="16"/>
      <c r="D44" s="16"/>
      <c r="E44" s="31"/>
      <c r="F44" s="31">
        <f>F10-F42</f>
        <v>1404.0922499999997</v>
      </c>
    </row>
    <row r="45" spans="2:7" ht="13.15" customHeight="1" x14ac:dyDescent="0.2"/>
    <row r="46" spans="2:7" ht="13.15" customHeight="1" x14ac:dyDescent="0.2">
      <c r="B46" s="23"/>
      <c r="C46" s="24"/>
      <c r="D46" s="24"/>
      <c r="E46" s="46"/>
      <c r="F46" s="46"/>
    </row>
    <row r="47" spans="2:7" ht="13.15" customHeight="1" x14ac:dyDescent="0.2">
      <c r="B47" s="1" t="s">
        <v>39</v>
      </c>
    </row>
    <row r="48" spans="2:7" ht="13.15" customHeight="1" x14ac:dyDescent="0.2">
      <c r="B48" t="s">
        <v>40</v>
      </c>
      <c r="F48" s="37">
        <f>123.54</f>
        <v>123.54</v>
      </c>
      <c r="G48" s="2"/>
    </row>
    <row r="49" spans="2:7" ht="13.15" customHeight="1" x14ac:dyDescent="0.2">
      <c r="B49" t="s">
        <v>41</v>
      </c>
      <c r="F49" s="37">
        <v>189.57</v>
      </c>
      <c r="G49" s="2"/>
    </row>
    <row r="50" spans="2:7" ht="13.15" customHeight="1" x14ac:dyDescent="0.2">
      <c r="B50" t="s">
        <v>42</v>
      </c>
      <c r="F50" s="37">
        <v>5</v>
      </c>
      <c r="G50" s="2"/>
    </row>
    <row r="51" spans="2:7" ht="13.15" customHeight="1" x14ac:dyDescent="0.2">
      <c r="B51" t="s">
        <v>43</v>
      </c>
      <c r="C51" s="6"/>
      <c r="D51" s="6"/>
      <c r="E51" s="56"/>
      <c r="F51" s="54">
        <f>0.005*F10</f>
        <v>31.5</v>
      </c>
    </row>
    <row r="52" spans="2:7" ht="13.15" customHeight="1" x14ac:dyDescent="0.2">
      <c r="B52" s="1" t="s">
        <v>44</v>
      </c>
      <c r="F52" s="44">
        <f>SUM(F48:F51)</f>
        <v>349.61</v>
      </c>
    </row>
    <row r="53" spans="2:7" ht="13.15" customHeight="1" x14ac:dyDescent="0.2"/>
    <row r="54" spans="2:7" ht="13.15" customHeight="1" x14ac:dyDescent="0.2">
      <c r="B54" s="1" t="s">
        <v>45</v>
      </c>
      <c r="F54" s="39">
        <f>F42+F52</f>
        <v>5245.51775</v>
      </c>
    </row>
    <row r="55" spans="2:7" ht="13.15" customHeight="1" x14ac:dyDescent="0.2"/>
    <row r="56" spans="2:7" ht="13.15" customHeight="1" x14ac:dyDescent="0.2">
      <c r="B56" s="13" t="s">
        <v>46</v>
      </c>
      <c r="C56" s="16"/>
      <c r="D56" s="16"/>
      <c r="E56" s="31"/>
      <c r="F56" s="31">
        <f>F10-F54</f>
        <v>1054.48225</v>
      </c>
    </row>
    <row r="57" spans="2:7" ht="13.15" customHeight="1" x14ac:dyDescent="0.2"/>
    <row r="58" spans="2:7" ht="13.15" customHeight="1" x14ac:dyDescent="0.2">
      <c r="B58" t="s">
        <v>47</v>
      </c>
      <c r="C58" s="99">
        <v>50</v>
      </c>
      <c r="D58" s="5" t="s">
        <v>21</v>
      </c>
      <c r="E58" s="102">
        <v>15</v>
      </c>
      <c r="F58" s="35">
        <f>C58*E58</f>
        <v>750</v>
      </c>
    </row>
    <row r="59" spans="2:7" ht="13.15" customHeight="1" x14ac:dyDescent="0.2"/>
    <row r="60" spans="2:7" ht="13.15" customHeight="1" x14ac:dyDescent="0.2">
      <c r="B60" s="13" t="s">
        <v>48</v>
      </c>
      <c r="C60" s="14"/>
      <c r="D60" s="14"/>
      <c r="E60" s="55"/>
      <c r="F60" s="31">
        <f>F56-F58</f>
        <v>304.48225000000002</v>
      </c>
    </row>
    <row r="61" spans="2:7" ht="13.15" customHeight="1" x14ac:dyDescent="0.2"/>
    <row r="62" spans="2:7" ht="13.15" customHeight="1" x14ac:dyDescent="0.2">
      <c r="B62" s="23"/>
      <c r="C62" s="24"/>
      <c r="D62" s="24"/>
      <c r="E62" s="46"/>
      <c r="F62" s="46"/>
    </row>
    <row r="63" spans="2:7" ht="13.15" customHeight="1" x14ac:dyDescent="0.2">
      <c r="B63" s="2"/>
    </row>
    <row r="64" spans="2:7" ht="13.15" customHeight="1" x14ac:dyDescent="0.2">
      <c r="B64" s="175" t="s">
        <v>132</v>
      </c>
      <c r="C64" s="175"/>
      <c r="D64" s="175"/>
      <c r="E64" s="175"/>
      <c r="F64" s="175"/>
    </row>
    <row r="65" spans="2:2" ht="13.15" customHeight="1" x14ac:dyDescent="0.2">
      <c r="B65" s="2"/>
    </row>
    <row r="66" spans="2:2" x14ac:dyDescent="0.2">
      <c r="B66" s="2"/>
    </row>
    <row r="67" spans="2:2" x14ac:dyDescent="0.2">
      <c r="B67" s="2"/>
    </row>
    <row r="68" spans="2:2" x14ac:dyDescent="0.2">
      <c r="B68" s="2"/>
    </row>
    <row r="69" spans="2:2" x14ac:dyDescent="0.2">
      <c r="B69" s="2"/>
    </row>
  </sheetData>
  <sheetProtection password="CF0F" sheet="1" objects="1" scenarios="1"/>
  <mergeCells count="2">
    <mergeCell ref="B64:F64"/>
    <mergeCell ref="E4:F6"/>
  </mergeCells>
  <hyperlinks>
    <hyperlink ref="E4:F6" location="Contents" display="Return to Table of Contents"/>
  </hyperlinks>
  <pageMargins left="0.75" right="0.75" top="1" bottom="1" header="0.5" footer="0.5"/>
  <pageSetup scale="78"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G68"/>
  <sheetViews>
    <sheetView showGridLines="0" workbookViewId="0">
      <selection activeCell="B2" sqref="B2"/>
    </sheetView>
  </sheetViews>
  <sheetFormatPr defaultRowHeight="12.75" x14ac:dyDescent="0.2"/>
  <cols>
    <col min="1" max="1" width="3.7109375" customWidth="1"/>
    <col min="2" max="2" width="48.28515625" customWidth="1"/>
    <col min="3" max="4" width="10.28515625" style="4" customWidth="1"/>
    <col min="5" max="5" width="10.28515625" style="36" customWidth="1"/>
    <col min="6" max="6" width="11.28515625" style="36" customWidth="1"/>
  </cols>
  <sheetData>
    <row r="2" spans="2:7" x14ac:dyDescent="0.2">
      <c r="B2" s="1" t="s">
        <v>150</v>
      </c>
    </row>
    <row r="3" spans="2:7" ht="13.5" thickBot="1" x14ac:dyDescent="0.25">
      <c r="B3" s="1" t="s">
        <v>194</v>
      </c>
    </row>
    <row r="4" spans="2:7" x14ac:dyDescent="0.2">
      <c r="B4" s="1"/>
      <c r="E4" s="176" t="s">
        <v>171</v>
      </c>
      <c r="F4" s="177"/>
    </row>
    <row r="5" spans="2:7" x14ac:dyDescent="0.2">
      <c r="B5" s="1"/>
      <c r="E5" s="178"/>
      <c r="F5" s="179"/>
    </row>
    <row r="6" spans="2:7" ht="13.5" thickBot="1" x14ac:dyDescent="0.25">
      <c r="B6" s="1"/>
      <c r="E6" s="180"/>
      <c r="F6" s="181"/>
    </row>
    <row r="7" spans="2:7" x14ac:dyDescent="0.2">
      <c r="B7" s="1"/>
    </row>
    <row r="8" spans="2:7" x14ac:dyDescent="0.2">
      <c r="C8" s="16" t="s">
        <v>0</v>
      </c>
      <c r="D8" s="16" t="s">
        <v>1</v>
      </c>
      <c r="E8" s="31" t="s">
        <v>2</v>
      </c>
      <c r="F8" s="31" t="s">
        <v>3</v>
      </c>
    </row>
    <row r="9" spans="2:7" x14ac:dyDescent="0.2">
      <c r="B9" s="1" t="s">
        <v>4</v>
      </c>
    </row>
    <row r="10" spans="2:7" x14ac:dyDescent="0.2">
      <c r="B10" t="s">
        <v>87</v>
      </c>
      <c r="C10" s="99">
        <v>1500</v>
      </c>
      <c r="D10" s="4" t="s">
        <v>6</v>
      </c>
      <c r="E10" s="102">
        <v>8</v>
      </c>
      <c r="F10" s="35">
        <f>C10*E10</f>
        <v>12000</v>
      </c>
      <c r="G10" s="2"/>
    </row>
    <row r="11" spans="2:7" x14ac:dyDescent="0.2">
      <c r="E11" s="73"/>
    </row>
    <row r="12" spans="2:7" ht="13.5" customHeight="1" x14ac:dyDescent="0.2">
      <c r="B12" s="23"/>
      <c r="C12" s="24"/>
      <c r="D12" s="24"/>
      <c r="E12" s="82"/>
      <c r="F12" s="46"/>
    </row>
    <row r="13" spans="2:7" x14ac:dyDescent="0.2">
      <c r="B13" s="1" t="s">
        <v>7</v>
      </c>
      <c r="E13" s="73"/>
    </row>
    <row r="14" spans="2:7" x14ac:dyDescent="0.2">
      <c r="B14" s="1" t="s">
        <v>131</v>
      </c>
      <c r="E14" s="73"/>
    </row>
    <row r="15" spans="2:7" x14ac:dyDescent="0.2">
      <c r="B15" t="s">
        <v>73</v>
      </c>
      <c r="C15" s="99">
        <v>12</v>
      </c>
      <c r="D15" s="5" t="s">
        <v>74</v>
      </c>
      <c r="E15" s="102">
        <v>60</v>
      </c>
      <c r="F15" s="35">
        <f>C15*E15</f>
        <v>720</v>
      </c>
    </row>
    <row r="16" spans="2:7" x14ac:dyDescent="0.2">
      <c r="B16" t="s">
        <v>9</v>
      </c>
      <c r="C16" s="99">
        <v>0.5</v>
      </c>
      <c r="D16" s="4" t="s">
        <v>10</v>
      </c>
      <c r="E16" s="102">
        <v>20</v>
      </c>
      <c r="F16" s="35">
        <f>C16*E16</f>
        <v>10</v>
      </c>
    </row>
    <row r="17" spans="2:7" x14ac:dyDescent="0.2">
      <c r="B17" t="s">
        <v>54</v>
      </c>
      <c r="C17" s="99">
        <v>12</v>
      </c>
      <c r="D17" s="4" t="s">
        <v>55</v>
      </c>
      <c r="E17" s="102">
        <v>28</v>
      </c>
      <c r="F17" s="35">
        <f>C17*E17</f>
        <v>336</v>
      </c>
    </row>
    <row r="18" spans="2:7" x14ac:dyDescent="0.2">
      <c r="B18" t="s">
        <v>88</v>
      </c>
      <c r="C18" s="99">
        <v>75</v>
      </c>
      <c r="D18" s="4" t="s">
        <v>34</v>
      </c>
      <c r="E18" s="102">
        <v>0.5</v>
      </c>
      <c r="F18" s="35">
        <f>C18*E18</f>
        <v>37.5</v>
      </c>
    </row>
    <row r="19" spans="2:7" x14ac:dyDescent="0.2">
      <c r="B19" t="s">
        <v>57</v>
      </c>
      <c r="C19" s="4">
        <v>1</v>
      </c>
      <c r="D19" s="4" t="s">
        <v>18</v>
      </c>
      <c r="E19" s="102">
        <v>382</v>
      </c>
      <c r="F19" s="35">
        <f>C19*E19</f>
        <v>382</v>
      </c>
      <c r="G19" s="2"/>
    </row>
    <row r="20" spans="2:7" x14ac:dyDescent="0.2">
      <c r="B20" t="s">
        <v>69</v>
      </c>
      <c r="C20" s="4">
        <v>1</v>
      </c>
      <c r="D20" s="4" t="s">
        <v>18</v>
      </c>
      <c r="E20" s="90"/>
      <c r="F20" s="102">
        <v>25.36</v>
      </c>
      <c r="G20" s="2"/>
    </row>
    <row r="21" spans="2:7" x14ac:dyDescent="0.2">
      <c r="B21" t="s">
        <v>17</v>
      </c>
      <c r="C21" s="99">
        <v>6</v>
      </c>
      <c r="D21" s="5" t="s">
        <v>133</v>
      </c>
      <c r="E21" s="72"/>
      <c r="F21" s="104">
        <v>90.28</v>
      </c>
      <c r="G21" s="2"/>
    </row>
    <row r="22" spans="2:7" x14ac:dyDescent="0.2">
      <c r="B22" t="s">
        <v>59</v>
      </c>
      <c r="C22" s="99">
        <v>3</v>
      </c>
      <c r="D22" s="5" t="s">
        <v>133</v>
      </c>
      <c r="E22" s="72"/>
      <c r="F22" s="104">
        <v>182.43</v>
      </c>
      <c r="G22" s="2"/>
    </row>
    <row r="23" spans="2:7" x14ac:dyDescent="0.2">
      <c r="B23" t="s">
        <v>20</v>
      </c>
      <c r="C23" s="99">
        <v>90</v>
      </c>
      <c r="D23" s="5" t="s">
        <v>21</v>
      </c>
      <c r="E23" s="102">
        <v>0.4</v>
      </c>
      <c r="F23" s="35">
        <f>C23*E23</f>
        <v>36</v>
      </c>
      <c r="G23" s="2"/>
    </row>
    <row r="24" spans="2:7" x14ac:dyDescent="0.2">
      <c r="B24" t="s">
        <v>23</v>
      </c>
      <c r="C24" s="53">
        <v>1</v>
      </c>
      <c r="D24" s="6" t="s">
        <v>18</v>
      </c>
      <c r="E24" s="103">
        <v>70.069999999999993</v>
      </c>
      <c r="F24" s="38">
        <f>C24*E24</f>
        <v>70.069999999999993</v>
      </c>
      <c r="G24" s="2"/>
    </row>
    <row r="25" spans="2:7" x14ac:dyDescent="0.2">
      <c r="B25" s="1" t="s">
        <v>24</v>
      </c>
      <c r="F25" s="39">
        <f>SUM(F15:F24)</f>
        <v>1889.6399999999999</v>
      </c>
    </row>
    <row r="27" spans="2:7" x14ac:dyDescent="0.2">
      <c r="B27" s="1" t="s">
        <v>25</v>
      </c>
    </row>
    <row r="28" spans="2:7" x14ac:dyDescent="0.2">
      <c r="B28" t="s">
        <v>26</v>
      </c>
      <c r="C28" s="4">
        <f>C10</f>
        <v>1500</v>
      </c>
      <c r="D28" s="4" t="s">
        <v>27</v>
      </c>
      <c r="E28" s="102">
        <v>1.25</v>
      </c>
      <c r="F28" s="35">
        <f>C28*E28</f>
        <v>1875</v>
      </c>
    </row>
    <row r="29" spans="2:7" x14ac:dyDescent="0.2">
      <c r="B29" t="s">
        <v>62</v>
      </c>
      <c r="C29" s="99">
        <v>18</v>
      </c>
      <c r="D29" s="4" t="s">
        <v>21</v>
      </c>
      <c r="E29" s="102">
        <v>9</v>
      </c>
      <c r="F29" s="35">
        <f>C29*E29</f>
        <v>162</v>
      </c>
    </row>
    <row r="30" spans="2:7" x14ac:dyDescent="0.2">
      <c r="B30" t="s">
        <v>63</v>
      </c>
      <c r="C30" s="5">
        <v>1</v>
      </c>
      <c r="D30" s="4" t="s">
        <v>64</v>
      </c>
      <c r="E30" s="102">
        <v>10</v>
      </c>
      <c r="F30" s="35">
        <f>C30*E30</f>
        <v>10</v>
      </c>
    </row>
    <row r="31" spans="2:7" x14ac:dyDescent="0.2">
      <c r="B31" t="s">
        <v>28</v>
      </c>
      <c r="C31" s="45"/>
      <c r="E31" s="72"/>
    </row>
    <row r="32" spans="2:7" x14ac:dyDescent="0.2">
      <c r="B32" t="s">
        <v>65</v>
      </c>
      <c r="C32" s="105">
        <v>0.85</v>
      </c>
      <c r="D32" s="4" t="s">
        <v>6</v>
      </c>
      <c r="E32" s="72"/>
      <c r="F32" s="35">
        <f>C10*C32</f>
        <v>1275</v>
      </c>
      <c r="G32" s="2"/>
    </row>
    <row r="33" spans="2:7" x14ac:dyDescent="0.2">
      <c r="B33" t="s">
        <v>89</v>
      </c>
      <c r="C33" s="105">
        <v>1.4</v>
      </c>
      <c r="E33" s="72"/>
      <c r="F33" s="35">
        <f>C33*C28</f>
        <v>2100</v>
      </c>
      <c r="G33" s="2"/>
    </row>
    <row r="34" spans="2:7" x14ac:dyDescent="0.2">
      <c r="B34" t="s">
        <v>67</v>
      </c>
      <c r="C34" s="95">
        <v>0.1</v>
      </c>
      <c r="D34" s="4" t="s">
        <v>32</v>
      </c>
      <c r="E34" s="72"/>
      <c r="F34" s="35">
        <f>C34*F10</f>
        <v>1200</v>
      </c>
    </row>
    <row r="35" spans="2:7" x14ac:dyDescent="0.2">
      <c r="B35" t="s">
        <v>68</v>
      </c>
      <c r="C35" s="99">
        <v>10</v>
      </c>
      <c r="D35" s="4" t="s">
        <v>21</v>
      </c>
      <c r="E35" s="102">
        <v>8.5</v>
      </c>
      <c r="F35" s="35">
        <f>C35*E35</f>
        <v>85</v>
      </c>
    </row>
    <row r="36" spans="2:7" x14ac:dyDescent="0.2">
      <c r="B36" t="s">
        <v>35</v>
      </c>
      <c r="C36" s="6">
        <f>C28</f>
        <v>1500</v>
      </c>
      <c r="D36" s="6" t="s">
        <v>27</v>
      </c>
      <c r="E36" s="103">
        <v>0.09</v>
      </c>
      <c r="F36" s="38">
        <f>C36*E36</f>
        <v>135</v>
      </c>
      <c r="G36" s="2"/>
    </row>
    <row r="37" spans="2:7" x14ac:dyDescent="0.2">
      <c r="B37" s="1" t="s">
        <v>36</v>
      </c>
      <c r="F37" s="39">
        <f>SUM(F28:F36)</f>
        <v>6842</v>
      </c>
    </row>
    <row r="39" spans="2:7" x14ac:dyDescent="0.2">
      <c r="B39" s="3" t="s">
        <v>175</v>
      </c>
      <c r="F39" s="36">
        <f>(0.05*0.5*F25)+(0.05*0.25*F37)</f>
        <v>132.76600000000002</v>
      </c>
    </row>
    <row r="41" spans="2:7" x14ac:dyDescent="0.2">
      <c r="B41" s="1" t="s">
        <v>37</v>
      </c>
      <c r="C41" s="18"/>
      <c r="D41" s="18"/>
      <c r="E41" s="39"/>
      <c r="F41" s="39">
        <f>SUM(F25+F37+F39)</f>
        <v>8864.405999999999</v>
      </c>
    </row>
    <row r="43" spans="2:7" x14ac:dyDescent="0.2">
      <c r="B43" s="13" t="s">
        <v>38</v>
      </c>
      <c r="C43" s="14"/>
      <c r="D43" s="14"/>
      <c r="E43" s="55"/>
      <c r="F43" s="31">
        <f>F10-F41</f>
        <v>3135.594000000001</v>
      </c>
    </row>
    <row r="45" spans="2:7" ht="12.75" customHeight="1" x14ac:dyDescent="0.2">
      <c r="B45" s="23"/>
      <c r="C45" s="24"/>
      <c r="D45" s="24"/>
      <c r="E45" s="46"/>
      <c r="F45" s="46"/>
    </row>
    <row r="46" spans="2:7" x14ac:dyDescent="0.2">
      <c r="B46" s="1" t="s">
        <v>39</v>
      </c>
    </row>
    <row r="47" spans="2:7" x14ac:dyDescent="0.2">
      <c r="B47" t="s">
        <v>40</v>
      </c>
      <c r="F47" s="37">
        <v>175.7</v>
      </c>
      <c r="G47" s="2"/>
    </row>
    <row r="48" spans="2:7" x14ac:dyDescent="0.2">
      <c r="B48" t="s">
        <v>41</v>
      </c>
      <c r="F48" s="37">
        <v>189.57</v>
      </c>
    </row>
    <row r="49" spans="2:6" x14ac:dyDescent="0.2">
      <c r="B49" t="s">
        <v>42</v>
      </c>
      <c r="F49" s="37">
        <v>5</v>
      </c>
    </row>
    <row r="50" spans="2:6" x14ac:dyDescent="0.2">
      <c r="B50" t="s">
        <v>43</v>
      </c>
      <c r="C50" s="6"/>
      <c r="D50" s="6"/>
      <c r="E50" s="56"/>
      <c r="F50" s="54">
        <f>0.005*F10</f>
        <v>60</v>
      </c>
    </row>
    <row r="51" spans="2:6" x14ac:dyDescent="0.2">
      <c r="B51" s="1" t="s">
        <v>44</v>
      </c>
      <c r="F51" s="44">
        <f>SUM(F47:F50)</f>
        <v>430.27</v>
      </c>
    </row>
    <row r="53" spans="2:6" x14ac:dyDescent="0.2">
      <c r="B53" s="1" t="s">
        <v>45</v>
      </c>
      <c r="F53" s="39">
        <f>F41+F51</f>
        <v>9294.6759999999995</v>
      </c>
    </row>
    <row r="55" spans="2:6" x14ac:dyDescent="0.2">
      <c r="B55" s="13" t="s">
        <v>46</v>
      </c>
      <c r="C55" s="16"/>
      <c r="D55" s="16"/>
      <c r="E55" s="31"/>
      <c r="F55" s="31">
        <f>F10-F53</f>
        <v>2705.3240000000005</v>
      </c>
    </row>
    <row r="57" spans="2:6" x14ac:dyDescent="0.2">
      <c r="B57" t="s">
        <v>47</v>
      </c>
      <c r="C57" s="99">
        <v>40</v>
      </c>
      <c r="D57" s="5" t="s">
        <v>21</v>
      </c>
      <c r="E57" s="102">
        <v>15</v>
      </c>
      <c r="F57" s="35">
        <f>C57*E57</f>
        <v>600</v>
      </c>
    </row>
    <row r="59" spans="2:6" x14ac:dyDescent="0.2">
      <c r="B59" s="13" t="s">
        <v>48</v>
      </c>
      <c r="C59" s="14"/>
      <c r="D59" s="14"/>
      <c r="E59" s="55"/>
      <c r="F59" s="31">
        <f>F55-F57</f>
        <v>2105.3240000000005</v>
      </c>
    </row>
    <row r="61" spans="2:6" ht="12.75" customHeight="1" x14ac:dyDescent="0.2">
      <c r="B61" s="23"/>
      <c r="C61" s="24"/>
      <c r="D61" s="24"/>
      <c r="E61" s="46"/>
      <c r="F61" s="46"/>
    </row>
    <row r="62" spans="2:6" x14ac:dyDescent="0.2">
      <c r="B62" s="2"/>
    </row>
    <row r="63" spans="2:6" x14ac:dyDescent="0.2">
      <c r="B63" s="175" t="s">
        <v>132</v>
      </c>
      <c r="C63" s="175"/>
      <c r="D63" s="175"/>
      <c r="E63" s="175"/>
      <c r="F63" s="175"/>
    </row>
    <row r="64" spans="2:6" x14ac:dyDescent="0.2">
      <c r="B64" s="2"/>
    </row>
    <row r="65" spans="2:2" x14ac:dyDescent="0.2">
      <c r="B65" s="2"/>
    </row>
    <row r="66" spans="2:2" x14ac:dyDescent="0.2">
      <c r="B66" s="2"/>
    </row>
    <row r="67" spans="2:2" x14ac:dyDescent="0.2">
      <c r="B67" s="2"/>
    </row>
    <row r="68" spans="2:2" x14ac:dyDescent="0.2">
      <c r="B68" s="2"/>
    </row>
  </sheetData>
  <sheetProtection password="CF0F" sheet="1" objects="1" scenarios="1"/>
  <mergeCells count="2">
    <mergeCell ref="B63:F63"/>
    <mergeCell ref="E4:F6"/>
  </mergeCells>
  <hyperlinks>
    <hyperlink ref="E4:F6" location="Contents" display="Return to Table of Contents"/>
  </hyperlinks>
  <pageMargins left="0.75" right="0.75" top="1" bottom="1" header="0.5" footer="0.5"/>
  <pageSetup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Table of Contents</vt:lpstr>
      <vt:lpstr>Broccoli</vt:lpstr>
      <vt:lpstr>Cabbage</vt:lpstr>
      <vt:lpstr>Cucumber</vt:lpstr>
      <vt:lpstr>Cucumber-Trellis</vt:lpstr>
      <vt:lpstr>Eggplant</vt:lpstr>
      <vt:lpstr>Muskmelon</vt:lpstr>
      <vt:lpstr>Okra</vt:lpstr>
      <vt:lpstr>Pepper</vt:lpstr>
      <vt:lpstr>Pepper-Jalepeno</vt:lpstr>
      <vt:lpstr>Potato</vt:lpstr>
      <vt:lpstr>Pumpkin</vt:lpstr>
      <vt:lpstr>Squash-Summer</vt:lpstr>
      <vt:lpstr>Squash-Winter</vt:lpstr>
      <vt:lpstr>Sweet Corn</vt:lpstr>
      <vt:lpstr>Sweetpotato</vt:lpstr>
      <vt:lpstr>Tomato</vt:lpstr>
      <vt:lpstr>Watermelon</vt:lpstr>
      <vt:lpstr>Watermelon-Sdless</vt:lpstr>
      <vt:lpstr>Broccoli</vt:lpstr>
      <vt:lpstr>Cabbage</vt:lpstr>
      <vt:lpstr>Contents</vt:lpstr>
      <vt:lpstr>Cucumber</vt:lpstr>
      <vt:lpstr>Cucumber_trellised</vt:lpstr>
      <vt:lpstr>Eggplant</vt:lpstr>
      <vt:lpstr>Muskmelon</vt:lpstr>
      <vt:lpstr>Okra</vt:lpstr>
      <vt:lpstr>'Table of Contents'!OLE_LINK1</vt:lpstr>
      <vt:lpstr>Pepper</vt:lpstr>
      <vt:lpstr>Pepper_Jalepeno</vt:lpstr>
      <vt:lpstr>Potato</vt:lpstr>
      <vt:lpstr>Broccoli!Print_Area</vt:lpstr>
      <vt:lpstr>Pumpkin</vt:lpstr>
      <vt:lpstr>Squash_summer</vt:lpstr>
      <vt:lpstr>Squash_winter</vt:lpstr>
      <vt:lpstr>Sweetpotato!Sweet_corn</vt:lpstr>
      <vt:lpstr>Sweet_corn</vt:lpstr>
      <vt:lpstr>Tomato</vt:lpstr>
      <vt:lpstr>Watermelon</vt:lpstr>
      <vt:lpstr>Watermelon_seedless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Ernst</dc:creator>
  <cp:lastModifiedBy>Tech Bench x64</cp:lastModifiedBy>
  <cp:lastPrinted>2013-05-22T18:30:14Z</cp:lastPrinted>
  <dcterms:created xsi:type="dcterms:W3CDTF">2008-10-29T12:58:24Z</dcterms:created>
  <dcterms:modified xsi:type="dcterms:W3CDTF">2015-10-28T19:33:01Z</dcterms:modified>
</cp:coreProperties>
</file>