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125"/>
  <workbookPr checkCompatibility="1" autoCompressPictures="0"/>
  <bookViews>
    <workbookView xWindow="7280" yWindow="740" windowWidth="35340" windowHeight="25280" tabRatio="887"/>
  </bookViews>
  <sheets>
    <sheet name="Directions &amp; Variables" sheetId="2" r:id="rId1"/>
    <sheet name="Bean" sheetId="1" r:id="rId2"/>
    <sheet name="Broccoli" sheetId="3" r:id="rId3"/>
    <sheet name="Cabbage" sheetId="4" r:id="rId4"/>
    <sheet name="Cantaloupe" sheetId="5" r:id="rId5"/>
    <sheet name="Cucumber" sheetId="6" r:id="rId6"/>
    <sheet name="Eggplant" sheetId="7" r:id="rId7"/>
    <sheet name="Okra" sheetId="8" r:id="rId8"/>
    <sheet name="Bell Pepper" sheetId="9" r:id="rId9"/>
    <sheet name="Jalapeno Pepper" sheetId="10" r:id="rId10"/>
    <sheet name="Potatoes" sheetId="11" r:id="rId11"/>
    <sheet name="Pumpkin" sheetId="12" r:id="rId12"/>
    <sheet name="Squash, Winter" sheetId="14" r:id="rId13"/>
    <sheet name="Summer Squash" sheetId="15" r:id="rId14"/>
    <sheet name="Sweet Corn" sheetId="16" r:id="rId15"/>
    <sheet name="Sweet Potato" sheetId="17" r:id="rId16"/>
    <sheet name="Tomato" sheetId="18" r:id="rId17"/>
    <sheet name="Seedless Watermelon" sheetId="19" r:id="rId18"/>
    <sheet name="Seeded Watermelon" sheetId="20" r:id="rId19"/>
  </sheets>
  <definedNames>
    <definedName name="Hired_Labor">'Directions &amp; Variables'!$D$21</definedName>
    <definedName name="Interest_Pct">'Directions &amp; Variables'!$D$24</definedName>
    <definedName name="Marketing_Pct">'Directions &amp; Variables'!$D$23</definedName>
    <definedName name="Operator_Labor">'Directions &amp; Variables'!$D$22</definedName>
    <definedName name="_xlnm.Print_Area" localSheetId="1">Bean!$A$1:$F$63</definedName>
    <definedName name="_xlnm.Print_Area" localSheetId="2">Broccoli!$A$1:$K$71</definedName>
    <definedName name="_xlnm.Print_Area" localSheetId="3">Cabbage!$A$1:$L$77</definedName>
    <definedName name="_xlnm.Print_Area" localSheetId="4">Cantaloupe!$A$1:$M$80</definedName>
    <definedName name="_xlnm.Print_Area" localSheetId="0">'Directions &amp; Variables'!$A$1:$J$46</definedName>
    <definedName name="_xlnm.Print_Area" localSheetId="17">'Seedless Watermelon'!$1:$1</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8" i="20" l="1"/>
  <c r="B34" i="20"/>
  <c r="B36" i="20"/>
  <c r="B33" i="20"/>
  <c r="B35" i="20"/>
  <c r="E8" i="20"/>
  <c r="E9" i="20"/>
  <c r="E10" i="20"/>
  <c r="E35" i="20"/>
  <c r="E31" i="20"/>
  <c r="E33" i="20"/>
  <c r="E34" i="20"/>
  <c r="E36" i="20"/>
  <c r="E38" i="20"/>
  <c r="B34" i="19"/>
  <c r="B37" i="19"/>
  <c r="B36" i="19"/>
  <c r="B33" i="18"/>
  <c r="B10" i="17"/>
  <c r="B31" i="17"/>
  <c r="B28" i="16"/>
  <c r="D34" i="15"/>
  <c r="D33" i="15"/>
  <c r="B33" i="14"/>
  <c r="B33" i="12"/>
  <c r="B31" i="11"/>
  <c r="B29" i="11"/>
  <c r="D60" i="20"/>
  <c r="E60" i="20"/>
  <c r="E26" i="20"/>
  <c r="D25" i="20"/>
  <c r="E25" i="20"/>
  <c r="E14" i="20"/>
  <c r="E15" i="20"/>
  <c r="E16" i="20"/>
  <c r="E17" i="20"/>
  <c r="E18" i="20"/>
  <c r="E19" i="20"/>
  <c r="E20" i="20"/>
  <c r="E21" i="20"/>
  <c r="E22" i="20"/>
  <c r="E23" i="20"/>
  <c r="E24" i="20"/>
  <c r="E27" i="20"/>
  <c r="D61" i="19"/>
  <c r="E61" i="19"/>
  <c r="E37" i="19"/>
  <c r="E34" i="19"/>
  <c r="D32" i="19"/>
  <c r="E32" i="19"/>
  <c r="B8" i="19"/>
  <c r="B35" i="19"/>
  <c r="E35" i="19"/>
  <c r="E8" i="19"/>
  <c r="E9" i="19"/>
  <c r="E10" i="19"/>
  <c r="E36" i="19"/>
  <c r="E39" i="19"/>
  <c r="E27" i="19"/>
  <c r="D26" i="19"/>
  <c r="E26" i="19"/>
  <c r="E14" i="19"/>
  <c r="B15" i="19"/>
  <c r="E15" i="19"/>
  <c r="E16" i="19"/>
  <c r="E17" i="19"/>
  <c r="E18" i="19"/>
  <c r="E19" i="19"/>
  <c r="E20" i="19"/>
  <c r="E21" i="19"/>
  <c r="E22" i="19"/>
  <c r="E23" i="19"/>
  <c r="E24" i="19"/>
  <c r="E25" i="19"/>
  <c r="E28" i="19"/>
  <c r="D61" i="18"/>
  <c r="E61" i="18"/>
  <c r="B35" i="18"/>
  <c r="E8" i="18"/>
  <c r="E35" i="18"/>
  <c r="B29" i="18"/>
  <c r="E29" i="18"/>
  <c r="E30" i="18"/>
  <c r="D31" i="18"/>
  <c r="E31" i="18"/>
  <c r="E33" i="18"/>
  <c r="E34" i="18"/>
  <c r="B36" i="18"/>
  <c r="E36" i="18"/>
  <c r="E38" i="18"/>
  <c r="E20" i="18"/>
  <c r="E21" i="18"/>
  <c r="E22" i="18"/>
  <c r="E23" i="18"/>
  <c r="E24" i="18"/>
  <c r="D14" i="18"/>
  <c r="E14" i="18"/>
  <c r="E13" i="18"/>
  <c r="E15" i="18"/>
  <c r="E16" i="18"/>
  <c r="E17" i="18"/>
  <c r="E18" i="18"/>
  <c r="E19" i="18"/>
  <c r="E25" i="18"/>
  <c r="E53" i="18"/>
  <c r="E55" i="18"/>
  <c r="D57" i="17"/>
  <c r="B33" i="17"/>
  <c r="E8" i="17"/>
  <c r="E9" i="17"/>
  <c r="E10" i="17"/>
  <c r="E33" i="17"/>
  <c r="E29" i="17"/>
  <c r="B30" i="17"/>
  <c r="E30" i="17"/>
  <c r="E31" i="17"/>
  <c r="B32" i="17"/>
  <c r="E32" i="17"/>
  <c r="E35" i="17"/>
  <c r="E20" i="17"/>
  <c r="E21" i="17"/>
  <c r="E22" i="17"/>
  <c r="E57" i="17"/>
  <c r="E24" i="17"/>
  <c r="E23" i="17"/>
  <c r="E19" i="17"/>
  <c r="E18" i="17"/>
  <c r="E17" i="17"/>
  <c r="E16" i="17"/>
  <c r="E15" i="17"/>
  <c r="E25" i="17"/>
  <c r="E48" i="17"/>
  <c r="E51" i="17"/>
  <c r="B36" i="6"/>
  <c r="E8" i="6"/>
  <c r="E9" i="6"/>
  <c r="E10" i="6"/>
  <c r="E36" i="6"/>
  <c r="D31" i="6"/>
  <c r="E31" i="6"/>
  <c r="B33" i="6"/>
  <c r="D33" i="6"/>
  <c r="E33" i="6"/>
  <c r="B34" i="6"/>
  <c r="D34" i="6"/>
  <c r="E34" i="6"/>
  <c r="B35" i="6"/>
  <c r="E35" i="6"/>
  <c r="B37" i="6"/>
  <c r="E37" i="6"/>
  <c r="E39" i="6"/>
  <c r="B30" i="16"/>
  <c r="D55" i="16"/>
  <c r="E55" i="16"/>
  <c r="D29" i="16"/>
  <c r="E29" i="16"/>
  <c r="B26" i="16"/>
  <c r="E26" i="16"/>
  <c r="E28" i="16"/>
  <c r="E8" i="16"/>
  <c r="E30" i="16"/>
  <c r="B31" i="16"/>
  <c r="E31" i="16"/>
  <c r="E33" i="16"/>
  <c r="E17" i="16"/>
  <c r="E18" i="16"/>
  <c r="E19" i="16"/>
  <c r="E21" i="16"/>
  <c r="E16" i="16"/>
  <c r="E15" i="16"/>
  <c r="E14" i="16"/>
  <c r="E13" i="16"/>
  <c r="E22" i="16"/>
  <c r="E47" i="16"/>
  <c r="E49" i="16"/>
  <c r="D61" i="15"/>
  <c r="E61" i="15"/>
  <c r="B36" i="15"/>
  <c r="B37" i="15"/>
  <c r="E37" i="15"/>
  <c r="B35" i="15"/>
  <c r="E35" i="15"/>
  <c r="B34" i="15"/>
  <c r="E34" i="15"/>
  <c r="B33" i="15"/>
  <c r="E33" i="15"/>
  <c r="D31" i="15"/>
  <c r="E31" i="15"/>
  <c r="E8" i="15"/>
  <c r="E9" i="15"/>
  <c r="E10" i="15"/>
  <c r="E36" i="15"/>
  <c r="E39" i="15"/>
  <c r="E26" i="15"/>
  <c r="D25" i="15"/>
  <c r="E25" i="15"/>
  <c r="E14" i="15"/>
  <c r="E15" i="15"/>
  <c r="E16" i="15"/>
  <c r="E17" i="15"/>
  <c r="E18" i="15"/>
  <c r="E19" i="15"/>
  <c r="E20" i="15"/>
  <c r="E21" i="15"/>
  <c r="E22" i="15"/>
  <c r="E23" i="15"/>
  <c r="E24" i="15"/>
  <c r="E27" i="15"/>
  <c r="D60" i="14"/>
  <c r="E60" i="14"/>
  <c r="E49" i="14"/>
  <c r="B35" i="14"/>
  <c r="D33" i="14"/>
  <c r="E33" i="14"/>
  <c r="D31" i="14"/>
  <c r="E31" i="14"/>
  <c r="B36" i="14"/>
  <c r="E36" i="14"/>
  <c r="B34" i="14"/>
  <c r="E34" i="14"/>
  <c r="E26" i="14"/>
  <c r="D25" i="14"/>
  <c r="E25" i="14"/>
  <c r="E14" i="14"/>
  <c r="E15" i="14"/>
  <c r="E16" i="14"/>
  <c r="E17" i="14"/>
  <c r="E18" i="14"/>
  <c r="E19" i="14"/>
  <c r="E20" i="14"/>
  <c r="E21" i="14"/>
  <c r="E22" i="14"/>
  <c r="E23" i="14"/>
  <c r="E24" i="14"/>
  <c r="E27" i="14"/>
  <c r="E9" i="14"/>
  <c r="E8" i="14"/>
  <c r="E10" i="14"/>
  <c r="E35" i="14"/>
  <c r="D60" i="12"/>
  <c r="E60" i="12"/>
  <c r="B35" i="12"/>
  <c r="D33" i="12"/>
  <c r="E33" i="12"/>
  <c r="D31" i="12"/>
  <c r="E31" i="12"/>
  <c r="B34" i="12"/>
  <c r="E34" i="12"/>
  <c r="E26" i="12"/>
  <c r="D25" i="12"/>
  <c r="E25" i="12"/>
  <c r="E14" i="12"/>
  <c r="E15" i="12"/>
  <c r="E16" i="12"/>
  <c r="E17" i="12"/>
  <c r="E18" i="12"/>
  <c r="E19" i="12"/>
  <c r="E20" i="12"/>
  <c r="E21" i="12"/>
  <c r="E22" i="12"/>
  <c r="E23" i="12"/>
  <c r="E24" i="12"/>
  <c r="E27" i="12"/>
  <c r="E8" i="12"/>
  <c r="E9" i="12"/>
  <c r="E10" i="12"/>
  <c r="E35" i="12"/>
  <c r="E38" i="12"/>
  <c r="E40" i="12"/>
  <c r="E42" i="12"/>
  <c r="E27" i="11"/>
  <c r="E48" i="3"/>
  <c r="D58" i="11"/>
  <c r="E58" i="11"/>
  <c r="B32" i="11"/>
  <c r="E8" i="11"/>
  <c r="E32" i="11"/>
  <c r="E28" i="11"/>
  <c r="D29" i="11"/>
  <c r="E29" i="11"/>
  <c r="E30" i="11"/>
  <c r="D31" i="11"/>
  <c r="E31" i="11"/>
  <c r="E34" i="11"/>
  <c r="E18" i="11"/>
  <c r="E19" i="11"/>
  <c r="E20" i="11"/>
  <c r="E21" i="11"/>
  <c r="E22" i="11"/>
  <c r="E17" i="11"/>
  <c r="E16" i="11"/>
  <c r="E15" i="11"/>
  <c r="E14" i="11"/>
  <c r="E13" i="11"/>
  <c r="E49" i="11"/>
  <c r="E23" i="11"/>
  <c r="E52" i="11"/>
  <c r="D59" i="10"/>
  <c r="E59" i="10"/>
  <c r="B33" i="10"/>
  <c r="B32" i="10"/>
  <c r="E32" i="10"/>
  <c r="D30" i="10"/>
  <c r="E30" i="10"/>
  <c r="B28" i="10"/>
  <c r="E28" i="10"/>
  <c r="E29" i="10"/>
  <c r="E8" i="10"/>
  <c r="E33" i="10"/>
  <c r="B34" i="10"/>
  <c r="E34" i="10"/>
  <c r="E36" i="10"/>
  <c r="E17" i="10"/>
  <c r="E18" i="10"/>
  <c r="E19" i="10"/>
  <c r="E20" i="10"/>
  <c r="E21" i="10"/>
  <c r="E22" i="10"/>
  <c r="E23" i="10"/>
  <c r="D14" i="10"/>
  <c r="E14" i="10"/>
  <c r="E13" i="10"/>
  <c r="E15" i="10"/>
  <c r="E16" i="10"/>
  <c r="E24" i="10"/>
  <c r="E51" i="10"/>
  <c r="E53" i="10"/>
  <c r="D60" i="9"/>
  <c r="B34" i="9"/>
  <c r="B33" i="9"/>
  <c r="E33" i="9"/>
  <c r="B32" i="9"/>
  <c r="E32" i="9"/>
  <c r="D30" i="9"/>
  <c r="E30" i="9"/>
  <c r="B28" i="9"/>
  <c r="E28" i="9"/>
  <c r="E29" i="9"/>
  <c r="E8" i="9"/>
  <c r="E34" i="9"/>
  <c r="B35" i="9"/>
  <c r="E35" i="9"/>
  <c r="E37" i="9"/>
  <c r="E13" i="9"/>
  <c r="D14" i="9"/>
  <c r="E14" i="9"/>
  <c r="E15" i="9"/>
  <c r="E16" i="9"/>
  <c r="B17" i="9"/>
  <c r="E17" i="9"/>
  <c r="E18" i="9"/>
  <c r="E19" i="9"/>
  <c r="E20" i="9"/>
  <c r="E21" i="9"/>
  <c r="E22" i="9"/>
  <c r="E23" i="9"/>
  <c r="E24" i="9"/>
  <c r="E39" i="9"/>
  <c r="E60" i="9"/>
  <c r="E52" i="9"/>
  <c r="E41" i="9"/>
  <c r="E54" i="9"/>
  <c r="D61" i="8"/>
  <c r="E61" i="8"/>
  <c r="B36" i="8"/>
  <c r="E8" i="8"/>
  <c r="E9" i="8"/>
  <c r="E10" i="8"/>
  <c r="E36" i="8"/>
  <c r="D34" i="8"/>
  <c r="D33" i="8"/>
  <c r="B33" i="8"/>
  <c r="E33" i="8"/>
  <c r="D23" i="8"/>
  <c r="E23" i="8"/>
  <c r="D22" i="8"/>
  <c r="D21" i="8"/>
  <c r="B37" i="8"/>
  <c r="E37" i="8"/>
  <c r="B35" i="8"/>
  <c r="E35" i="8"/>
  <c r="B34" i="8"/>
  <c r="D31" i="8"/>
  <c r="E31" i="8"/>
  <c r="E34" i="8"/>
  <c r="E39" i="8"/>
  <c r="E14" i="8"/>
  <c r="E15" i="8"/>
  <c r="E16" i="8"/>
  <c r="E17" i="8"/>
  <c r="E18" i="8"/>
  <c r="E19" i="8"/>
  <c r="E20" i="8"/>
  <c r="E21" i="8"/>
  <c r="E22" i="8"/>
  <c r="E24" i="8"/>
  <c r="D25" i="8"/>
  <c r="E25" i="8"/>
  <c r="E26" i="8"/>
  <c r="E27" i="8"/>
  <c r="E41" i="8"/>
  <c r="E43" i="8"/>
  <c r="D60" i="7"/>
  <c r="E60" i="7"/>
  <c r="B36" i="7"/>
  <c r="D34" i="7"/>
  <c r="B34" i="7"/>
  <c r="E34" i="7"/>
  <c r="D33" i="7"/>
  <c r="B33" i="7"/>
  <c r="E33" i="7"/>
  <c r="B37" i="7"/>
  <c r="E37" i="7"/>
  <c r="B35" i="7"/>
  <c r="E35" i="7"/>
  <c r="D31" i="7"/>
  <c r="E31" i="7"/>
  <c r="E26" i="7"/>
  <c r="D25" i="7"/>
  <c r="E25" i="7"/>
  <c r="E14" i="7"/>
  <c r="E15" i="7"/>
  <c r="E16" i="7"/>
  <c r="E17" i="7"/>
  <c r="E18" i="7"/>
  <c r="E19" i="7"/>
  <c r="E20" i="7"/>
  <c r="E21" i="7"/>
  <c r="E22" i="7"/>
  <c r="E23" i="7"/>
  <c r="E24" i="7"/>
  <c r="E27" i="7"/>
  <c r="E9" i="7"/>
  <c r="E8" i="7"/>
  <c r="E10" i="7"/>
  <c r="E36" i="7"/>
  <c r="E39" i="7"/>
  <c r="D60" i="6"/>
  <c r="B35" i="5"/>
  <c r="E60" i="6"/>
  <c r="E26" i="6"/>
  <c r="D25" i="6"/>
  <c r="E25" i="6"/>
  <c r="E14" i="6"/>
  <c r="E15" i="6"/>
  <c r="E16" i="6"/>
  <c r="E17" i="6"/>
  <c r="E18" i="6"/>
  <c r="E19" i="6"/>
  <c r="E20" i="6"/>
  <c r="E21" i="6"/>
  <c r="E22" i="6"/>
  <c r="E23" i="6"/>
  <c r="E24" i="6"/>
  <c r="E27" i="6"/>
  <c r="D60" i="5"/>
  <c r="B33" i="5"/>
  <c r="E31" i="5"/>
  <c r="D25" i="5"/>
  <c r="E25" i="5"/>
  <c r="D31" i="4"/>
  <c r="D31" i="3"/>
  <c r="B8" i="5"/>
  <c r="B34" i="5"/>
  <c r="E8" i="5"/>
  <c r="E9" i="5"/>
  <c r="E10" i="5"/>
  <c r="E14" i="5"/>
  <c r="E15" i="5"/>
  <c r="E16" i="5"/>
  <c r="E18" i="5"/>
  <c r="E19" i="5"/>
  <c r="E20" i="5"/>
  <c r="E21" i="5"/>
  <c r="E22" i="5"/>
  <c r="E23" i="5"/>
  <c r="E24" i="5"/>
  <c r="E26" i="5"/>
  <c r="E33" i="5"/>
  <c r="E34" i="5"/>
  <c r="E35" i="5"/>
  <c r="B36" i="5"/>
  <c r="E36" i="5"/>
  <c r="E38" i="5"/>
  <c r="E60" i="5"/>
  <c r="E17" i="5"/>
  <c r="E27" i="5"/>
  <c r="D56" i="4"/>
  <c r="E56" i="4"/>
  <c r="B33" i="4"/>
  <c r="D30" i="4"/>
  <c r="E30" i="4"/>
  <c r="B31" i="4"/>
  <c r="E31" i="4"/>
  <c r="B32" i="4"/>
  <c r="E32" i="4"/>
  <c r="E8" i="4"/>
  <c r="E9" i="4"/>
  <c r="E10" i="4"/>
  <c r="E33" i="4"/>
  <c r="E34" i="4"/>
  <c r="D24" i="4"/>
  <c r="E24" i="4"/>
  <c r="E14" i="4"/>
  <c r="E15" i="4"/>
  <c r="E16" i="4"/>
  <c r="B17" i="4"/>
  <c r="E17" i="4"/>
  <c r="E18" i="4"/>
  <c r="D19" i="4"/>
  <c r="E19" i="4"/>
  <c r="E20" i="4"/>
  <c r="E21" i="4"/>
  <c r="E22" i="4"/>
  <c r="E23" i="4"/>
  <c r="E25" i="4"/>
  <c r="E26" i="4"/>
  <c r="D59" i="3"/>
  <c r="B34" i="3"/>
  <c r="D30" i="3"/>
  <c r="D24" i="3"/>
  <c r="E24" i="3"/>
  <c r="E14" i="3"/>
  <c r="E15" i="3"/>
  <c r="E16" i="3"/>
  <c r="B17" i="3"/>
  <c r="E17" i="3"/>
  <c r="E18" i="3"/>
  <c r="D19" i="3"/>
  <c r="E19" i="3"/>
  <c r="E20" i="3"/>
  <c r="E21" i="3"/>
  <c r="E22" i="3"/>
  <c r="E23" i="3"/>
  <c r="E25" i="3"/>
  <c r="E26" i="3"/>
  <c r="E59" i="3"/>
  <c r="B33" i="3"/>
  <c r="E33" i="3"/>
  <c r="E32" i="3"/>
  <c r="B31" i="3"/>
  <c r="E31" i="3"/>
  <c r="E30" i="3"/>
  <c r="E8" i="3"/>
  <c r="E9" i="3"/>
  <c r="E10" i="3"/>
  <c r="E34" i="3"/>
  <c r="E37" i="3"/>
  <c r="B28" i="1"/>
  <c r="E8" i="1"/>
  <c r="E28" i="1"/>
  <c r="D26" i="1"/>
  <c r="E48" i="1"/>
  <c r="E41" i="1"/>
  <c r="E42" i="1"/>
  <c r="B26" i="1"/>
  <c r="B25" i="1"/>
  <c r="E25" i="1"/>
  <c r="E24" i="1"/>
  <c r="E19" i="1"/>
  <c r="E18" i="1"/>
  <c r="E17" i="1"/>
  <c r="E16" i="1"/>
  <c r="E15" i="1"/>
  <c r="E14" i="1"/>
  <c r="E13" i="1"/>
  <c r="E26" i="1"/>
  <c r="E20" i="1"/>
  <c r="B27" i="1"/>
  <c r="E27" i="1"/>
  <c r="E29" i="1"/>
  <c r="E31" i="1"/>
  <c r="E33" i="1"/>
  <c r="E44" i="1"/>
  <c r="E46" i="1"/>
  <c r="E50" i="1"/>
  <c r="E35" i="1"/>
  <c r="E36" i="4"/>
  <c r="E38" i="4"/>
  <c r="E40" i="5"/>
  <c r="E42" i="5"/>
  <c r="E41" i="6"/>
  <c r="E43" i="6"/>
  <c r="E41" i="7"/>
  <c r="E43" i="7"/>
  <c r="E53" i="8"/>
  <c r="E55" i="8"/>
  <c r="E57" i="8"/>
  <c r="E59" i="8"/>
  <c r="E63" i="8"/>
  <c r="E46" i="8"/>
  <c r="E35" i="16"/>
  <c r="E37" i="16"/>
  <c r="E39" i="3"/>
  <c r="E41" i="3"/>
  <c r="E44" i="9"/>
  <c r="E56" i="9"/>
  <c r="E58" i="9"/>
  <c r="E62" i="9"/>
  <c r="E38" i="10"/>
  <c r="E40" i="10"/>
  <c r="E36" i="11"/>
  <c r="E38" i="11"/>
  <c r="E41" i="15"/>
  <c r="E43" i="15"/>
  <c r="E37" i="17"/>
  <c r="E39" i="17"/>
  <c r="E40" i="18"/>
  <c r="E42" i="18"/>
  <c r="E41" i="19"/>
  <c r="E43" i="19"/>
  <c r="E40" i="20"/>
  <c r="E42" i="20"/>
  <c r="E38" i="14"/>
  <c r="E40" i="14"/>
  <c r="E42" i="14"/>
  <c r="E45" i="12"/>
  <c r="E52" i="12"/>
  <c r="E54" i="12"/>
  <c r="E56" i="12"/>
  <c r="E58" i="12"/>
  <c r="E62" i="12"/>
  <c r="E45" i="20"/>
  <c r="E52" i="20"/>
  <c r="E54" i="20"/>
  <c r="E56" i="20"/>
  <c r="E58" i="20"/>
  <c r="E62" i="20"/>
  <c r="E41" i="11"/>
  <c r="E54" i="11"/>
  <c r="E56" i="11"/>
  <c r="E60" i="11"/>
  <c r="E44" i="3"/>
  <c r="E51" i="3"/>
  <c r="E53" i="3"/>
  <c r="E55" i="3"/>
  <c r="E57" i="3"/>
  <c r="E61" i="3"/>
  <c r="E52" i="6"/>
  <c r="E54" i="6"/>
  <c r="E56" i="6"/>
  <c r="E58" i="6"/>
  <c r="E62" i="6"/>
  <c r="E45" i="6"/>
  <c r="E48" i="4"/>
  <c r="E50" i="4"/>
  <c r="E52" i="4"/>
  <c r="E54" i="4"/>
  <c r="E58" i="4"/>
  <c r="E41" i="4"/>
  <c r="E52" i="14"/>
  <c r="E54" i="14"/>
  <c r="E56" i="14"/>
  <c r="E58" i="14"/>
  <c r="E62" i="14"/>
  <c r="E45" i="14"/>
  <c r="E45" i="18"/>
  <c r="E57" i="18"/>
  <c r="E59" i="18"/>
  <c r="E63" i="18"/>
  <c r="E43" i="10"/>
  <c r="E55" i="10"/>
  <c r="E57" i="10"/>
  <c r="E61" i="10"/>
  <c r="E40" i="16"/>
  <c r="E51" i="16"/>
  <c r="E53" i="16"/>
  <c r="E57" i="16"/>
  <c r="E52" i="5"/>
  <c r="E54" i="5"/>
  <c r="E56" i="5"/>
  <c r="E58" i="5"/>
  <c r="E62" i="5"/>
  <c r="E45" i="5"/>
  <c r="E53" i="19"/>
  <c r="E55" i="19"/>
  <c r="E57" i="19"/>
  <c r="E59" i="19"/>
  <c r="E63" i="19"/>
  <c r="E46" i="19"/>
  <c r="E53" i="17"/>
  <c r="E55" i="17"/>
  <c r="E59" i="17"/>
  <c r="E42" i="17"/>
  <c r="E46" i="15"/>
  <c r="E53" i="15"/>
  <c r="E55" i="15"/>
  <c r="E57" i="15"/>
  <c r="E59" i="15"/>
  <c r="E63" i="15"/>
  <c r="E45" i="7"/>
  <c r="E52" i="7"/>
  <c r="E54" i="7"/>
  <c r="E56" i="7"/>
  <c r="E58" i="7"/>
  <c r="E62" i="7"/>
</calcChain>
</file>

<file path=xl/sharedStrings.xml><?xml version="1.0" encoding="utf-8"?>
<sst xmlns="http://schemas.openxmlformats.org/spreadsheetml/2006/main" count="1616" uniqueCount="307">
  <si>
    <t>BEANS, GREEN:  FRESH MARKET, Machine Harvested, Non-irrigated</t>
  </si>
  <si>
    <t>Kentucky Estimated per Acre Costs and Returns for 2017</t>
  </si>
  <si>
    <t>Quantity</t>
  </si>
  <si>
    <t>Unit</t>
  </si>
  <si>
    <t>$/Unit</t>
  </si>
  <si>
    <t>Total</t>
  </si>
  <si>
    <t>GROSS RETURNS</t>
  </si>
  <si>
    <t>Snap Beans</t>
  </si>
  <si>
    <t>bu</t>
  </si>
  <si>
    <t>a, b</t>
  </si>
  <si>
    <t>VARIABLE COSTS</t>
  </si>
  <si>
    <t>Production</t>
  </si>
  <si>
    <t xml:space="preserve">   Lime</t>
  </si>
  <si>
    <t>ton</t>
  </si>
  <si>
    <t xml:space="preserve">   Fertilizer: Bulk Spread</t>
  </si>
  <si>
    <t>lbs</t>
  </si>
  <si>
    <t xml:space="preserve">   Seed</t>
  </si>
  <si>
    <t>pounds</t>
  </si>
  <si>
    <t xml:space="preserve">   Herbicides</t>
  </si>
  <si>
    <t>acre</t>
  </si>
  <si>
    <t>d</t>
  </si>
  <si>
    <t xml:space="preserve">   Insecticides</t>
  </si>
  <si>
    <t xml:space="preserve">   Fungicides</t>
  </si>
  <si>
    <t xml:space="preserve">   Machinery Variable Costs</t>
  </si>
  <si>
    <t>e</t>
  </si>
  <si>
    <t>Total Preharvest Variable Costs</t>
  </si>
  <si>
    <t>HARVESTING AND MARKETING</t>
  </si>
  <si>
    <t>Machine Fuel, Oil, Lube / Or Rent</t>
  </si>
  <si>
    <t>Boxes</t>
  </si>
  <si>
    <t>boxes</t>
  </si>
  <si>
    <t>Hired Labor: Harvest/Grading/Cleaning/Sorting</t>
  </si>
  <si>
    <t>hrs</t>
  </si>
  <si>
    <t>c</t>
  </si>
  <si>
    <t>Cooling</t>
  </si>
  <si>
    <t xml:space="preserve"> Marketing Costs (10% of Gross)</t>
  </si>
  <si>
    <t>gross</t>
  </si>
  <si>
    <t>Total Harvesting and Marketing Cost</t>
  </si>
  <si>
    <t>Interest on Variable Costs</t>
  </si>
  <si>
    <t>TOTAL VARIABLE COST</t>
  </si>
  <si>
    <t>RETURN ABOVE VARIABLE COSTS</t>
  </si>
  <si>
    <t>FIXED COSTS</t>
  </si>
  <si>
    <t xml:space="preserve">   Machinery and Equipment</t>
  </si>
  <si>
    <t xml:space="preserve">   Taxes on Land</t>
  </si>
  <si>
    <t xml:space="preserve">   Insurance</t>
  </si>
  <si>
    <t>TOTAL FIXED COSTS</t>
  </si>
  <si>
    <t>TOTAL EXPENSES</t>
  </si>
  <si>
    <t>RETURN TO OPERATOR LABOR, LAND, CAPITAL, &amp; MGT.</t>
  </si>
  <si>
    <t>Operator and Unpaid Family Labor</t>
  </si>
  <si>
    <t>hrs.</t>
  </si>
  <si>
    <t>RETURN TO LAND, CAPITAL, AND MANAGEMENT</t>
  </si>
  <si>
    <t>a Yields based on past budget estimates for production in Ky. Yields may be higher.</t>
  </si>
  <si>
    <t>Hired Labor Wage Rate</t>
  </si>
  <si>
    <t>Marketing Costs (% of Gross)</t>
  </si>
  <si>
    <t>Interest Rate</t>
  </si>
  <si>
    <t>Operator &amp; Unpaid Family Labor</t>
  </si>
  <si>
    <t>per hour</t>
  </si>
  <si>
    <t>BROCCOLI, FALL FRESH MARKET, TRICKLE IRRIGATED</t>
  </si>
  <si>
    <t>Broccoli (20-23 lb box)</t>
  </si>
  <si>
    <r>
      <t xml:space="preserve">   </t>
    </r>
    <r>
      <rPr>
        <b/>
        <sz val="10"/>
        <rFont val="Arial"/>
        <family val="2"/>
      </rPr>
      <t>Total Returns</t>
    </r>
  </si>
  <si>
    <t xml:space="preserve">   Broccoli Transplants</t>
  </si>
  <si>
    <t>thousand</t>
  </si>
  <si>
    <t xml:space="preserve">   N Fertilizer: Urea</t>
  </si>
  <si>
    <t xml:space="preserve">   Starter Fertilizer</t>
  </si>
  <si>
    <t xml:space="preserve">   N Fertilizer: Fertigation (Calcium Nitrate)</t>
  </si>
  <si>
    <t xml:space="preserve">   Plastic Mulch</t>
  </si>
  <si>
    <t xml:space="preserve">   Drip Lines &amp; Irrigation Fittings</t>
  </si>
  <si>
    <t xml:space="preserve">   Irrigation</t>
  </si>
  <si>
    <t xml:space="preserve">   Hired Labor  (Planting)</t>
  </si>
  <si>
    <t xml:space="preserve"> Plastic Disposal</t>
  </si>
  <si>
    <t>hours</t>
  </si>
  <si>
    <t xml:space="preserve"> Harvest and Pack</t>
  </si>
  <si>
    <t>f</t>
  </si>
  <si>
    <t xml:space="preserve"> Ice and Cooling</t>
  </si>
  <si>
    <t xml:space="preserve"> Boxes</t>
  </si>
  <si>
    <t xml:space="preserve">   Irrigation System Capital Recovery</t>
  </si>
  <si>
    <t>Operator Labor (machinery and irrigation)</t>
  </si>
  <si>
    <t>a Yields based on prior UK budget yield assumption.</t>
  </si>
  <si>
    <t>b Price based on 2016 wholesale and terminal market prices for Sept/Oct 2016 at Atlanta and St. Louis.</t>
  </si>
  <si>
    <t>c Fuel and power for irrigation system. Assumes established well or water source. Depreciation fixed costs in capital recovery line.</t>
  </si>
  <si>
    <t>a,b</t>
  </si>
  <si>
    <t>CABBAGE, FRESH MARKET, TRICKLE IRRIGATED</t>
  </si>
  <si>
    <t>Cabbage (50-lb box)</t>
  </si>
  <si>
    <t xml:space="preserve">   Cabbage Transplants</t>
  </si>
  <si>
    <t>g</t>
  </si>
  <si>
    <t>cwt</t>
  </si>
  <si>
    <t xml:space="preserve"> Hauling Variable Costs</t>
  </si>
  <si>
    <t>bins</t>
  </si>
  <si>
    <t xml:space="preserve"> Bins (90-count)</t>
  </si>
  <si>
    <t xml:space="preserve">   Harvest &amp; Field Grading</t>
  </si>
  <si>
    <t xml:space="preserve"> Hired Labor</t>
  </si>
  <si>
    <t xml:space="preserve">   Herbicides  (Row Middles)</t>
  </si>
  <si>
    <t>hive</t>
  </si>
  <si>
    <t xml:space="preserve">   Pollination</t>
  </si>
  <si>
    <t xml:space="preserve">   K Fertilizer: Potash (0-0-60)</t>
  </si>
  <si>
    <t>plants</t>
  </si>
  <si>
    <t xml:space="preserve">   Muskmelon Seeds &amp; Plants</t>
  </si>
  <si>
    <t>Cantaloupes</t>
  </si>
  <si>
    <t>CANTALOUPE, FRESH MARKET, TRICKLE IRRIGATED</t>
  </si>
  <si>
    <t>CUCUMBER, FRESH MARKET, TRICKLE IRRIGATED</t>
  </si>
  <si>
    <t>Cucumbers (1 1/9 bu box)</t>
  </si>
  <si>
    <t xml:space="preserve">   Cucumber Seed (F1)</t>
  </si>
  <si>
    <t xml:space="preserve">   Harvest</t>
  </si>
  <si>
    <t>box</t>
  </si>
  <si>
    <t xml:space="preserve">   Packing</t>
  </si>
  <si>
    <t>d Pesticide costs based on recommended applications of various products using 2017 product costs. Fungicide program can vary greatly according to downy mildew pressure.</t>
  </si>
  <si>
    <t>Boxes picked per hour</t>
  </si>
  <si>
    <t>Boxes packed per hour</t>
  </si>
  <si>
    <t>Eggplant, FRESH MARKET, TRICKLE IRRIGATED</t>
  </si>
  <si>
    <t>Eggplant, 1 1/9 bushel</t>
  </si>
  <si>
    <t xml:space="preserve">   Eggplant Transplants</t>
  </si>
  <si>
    <t>d Pesticide costs based on recommended applications of various products using 2017 product costs.</t>
  </si>
  <si>
    <t>OKRA, FRESH MARKET, TRICKLE IRRIGATED</t>
  </si>
  <si>
    <t>Okra (15-lb box)</t>
  </si>
  <si>
    <t xml:space="preserve">   Okra Seed</t>
  </si>
  <si>
    <t xml:space="preserve">   Transplant Production Costs</t>
  </si>
  <si>
    <t xml:space="preserve">   N Fertilizer: Sidedressing</t>
  </si>
  <si>
    <t>c Materials actual cost, fuel and power estimate for irrigation system. Assumes established well or water source. Depreciation fixed costs in capital recovery line.</t>
  </si>
  <si>
    <t>Peppers  (1 1/9 bu. box)</t>
  </si>
  <si>
    <t xml:space="preserve">   Plants</t>
  </si>
  <si>
    <t xml:space="preserve">   Transplant Labor</t>
  </si>
  <si>
    <t xml:space="preserve">   N Fertilizer:  Preplant Urea</t>
  </si>
  <si>
    <t xml:space="preserve">   Starter Liquid Fertilizer</t>
  </si>
  <si>
    <t xml:space="preserve">   N Fertilizer:  Calcium Nitrate fertigation</t>
  </si>
  <si>
    <t>h</t>
  </si>
  <si>
    <t xml:space="preserve">   Black Plastic/Drip Lines</t>
  </si>
  <si>
    <t xml:space="preserve"> Harvest Lugs/Buckets</t>
  </si>
  <si>
    <t>each</t>
  </si>
  <si>
    <t xml:space="preserve"> Plastic Disposal Labor</t>
  </si>
  <si>
    <t xml:space="preserve"> Harvest and Postharvest Hired Labor</t>
  </si>
  <si>
    <t xml:space="preserve">   Grade/Pack</t>
  </si>
  <si>
    <t xml:space="preserve">   Marketing Costs (10% of Gross)</t>
  </si>
  <si>
    <t xml:space="preserve">   Harvest Crate Replacement</t>
  </si>
  <si>
    <t xml:space="preserve">   Depreciation on Irrigation System</t>
  </si>
  <si>
    <t>2015 UK Estimate: $2185 for one year</t>
  </si>
  <si>
    <t>a  Reflects average to above-average yields for plasticulture.</t>
  </si>
  <si>
    <t>c  Assumes charge for power/fuel for irrigation. Municipal water will add much higher cost.</t>
  </si>
  <si>
    <t>BELL PEPPERS: FRESH MARKET, TRICKLE IRRIGATED</t>
  </si>
  <si>
    <t>Jalapeño PEPPERS: FRESH MARKET, TRICKLE IRRIGATED</t>
  </si>
  <si>
    <t>Jalapeño Peppers  (1/2-bu. box)</t>
  </si>
  <si>
    <t xml:space="preserve">   Harvest &amp; Pack</t>
  </si>
  <si>
    <t>Boxes harvested/packed per hour</t>
  </si>
  <si>
    <t>POTATOES:  FRESH MARKET, Overhead Irrigated</t>
  </si>
  <si>
    <t>Potatoes</t>
  </si>
  <si>
    <t xml:space="preserve">                  Sidedressing</t>
  </si>
  <si>
    <t xml:space="preserve">   Seed Treatment/Cutting</t>
  </si>
  <si>
    <t>Variable Machine Costs</t>
  </si>
  <si>
    <t>Bags</t>
  </si>
  <si>
    <t>bags</t>
  </si>
  <si>
    <t>Hired Labor: Wash/Pack</t>
  </si>
  <si>
    <t>Washer/Grader/Bagger</t>
  </si>
  <si>
    <t>c UK estimate for overhead irrigation.</t>
  </si>
  <si>
    <t>PUMPKIN, FRESH MARKET, TRICKLE IRRIGATED</t>
  </si>
  <si>
    <t>Pumpkins (18-22 lb size)</t>
  </si>
  <si>
    <t xml:space="preserve">   Pumpkin Seed</t>
  </si>
  <si>
    <t xml:space="preserve">   Hired Labor  (Planting, Weeding)</t>
  </si>
  <si>
    <t xml:space="preserve">   Harvest, Handling, Hauling</t>
  </si>
  <si>
    <t xml:space="preserve"> Bins</t>
  </si>
  <si>
    <t>b Price based on terminal market and shipping point prices from IL, MO and NC, 2016; Ky. auction price trends, 2016.</t>
  </si>
  <si>
    <t>WINTER SQUASH, FRESH MARKET, TRICKLE IRRIGATED</t>
  </si>
  <si>
    <t>Winter Squash (50-lb box)</t>
  </si>
  <si>
    <t xml:space="preserve">   Winter Squash Transplants</t>
  </si>
  <si>
    <t>YELLOW CROOKNECK SQUASH, FRESH MARKET, TRICKLE IRRIGATED</t>
  </si>
  <si>
    <t>Summer Squash</t>
  </si>
  <si>
    <t xml:space="preserve">   Squash Seed (F1)</t>
  </si>
  <si>
    <t>SWEET CORN, FRESH MARKET, Overhead Irrigated</t>
  </si>
  <si>
    <t>Sweet Corn  (Crate)</t>
  </si>
  <si>
    <t>crate</t>
  </si>
  <si>
    <t>lb</t>
  </si>
  <si>
    <t xml:space="preserve">   Fertilizer: N (Urea)</t>
  </si>
  <si>
    <t xml:space="preserve">   Fertilizer: Other Preplant</t>
  </si>
  <si>
    <t xml:space="preserve">   Fertilizer: N (Side Dressing)</t>
  </si>
  <si>
    <t xml:space="preserve">   Herbicide</t>
  </si>
  <si>
    <t xml:space="preserve">   Fungicide</t>
  </si>
  <si>
    <t xml:space="preserve"> Crates</t>
  </si>
  <si>
    <t>crates</t>
  </si>
  <si>
    <t xml:space="preserve">   Misc. Harvest Labor</t>
  </si>
  <si>
    <t>f  Based on past UK assumptions updated for changes in wage rates.</t>
  </si>
  <si>
    <t>SWEET POTATOES:  FRESH MARKET</t>
  </si>
  <si>
    <t>US #1</t>
  </si>
  <si>
    <t>US #2</t>
  </si>
  <si>
    <t>Sweet Potatoes</t>
  </si>
  <si>
    <t xml:space="preserve">   Fertilizer: Starter</t>
  </si>
  <si>
    <t>Curing and Storage</t>
  </si>
  <si>
    <t>f  Assumes 17.5 boxes harvested per acre. Curing cost of $1.25 per box used in 2016 Clemson University budgets.</t>
  </si>
  <si>
    <t>TOMATOES, STAKED: FRESH MARKET, TRICKLE IRRIGATED</t>
  </si>
  <si>
    <t>Kentucky Estimated per Acre Costs and Returns for 2016</t>
  </si>
  <si>
    <t>Tomatoes  (25# box)</t>
  </si>
  <si>
    <t xml:space="preserve">   Transplant &amp; Staking Labor</t>
  </si>
  <si>
    <t xml:space="preserve">   Stakes &amp; Twine</t>
  </si>
  <si>
    <t xml:space="preserve">   Herbicides  (row middles only)</t>
  </si>
  <si>
    <t>g  Based on past Kentucky budgets with increases for increasing wage rates; compares similarly to tomato labor estimates from university budgets published in South Carolina, N.C., Pennsylvania, Georgia and Mississippi</t>
  </si>
  <si>
    <t>WATERMELON (seedless), FRESH MARKET, TRICKLE IRRIGATED</t>
  </si>
  <si>
    <t>Watermelons, Seedless</t>
  </si>
  <si>
    <t xml:space="preserve">   Seedless Plants - $250 per thousand TOTAL</t>
  </si>
  <si>
    <t xml:space="preserve">   Pollenizers - $150 per thousand</t>
  </si>
  <si>
    <t xml:space="preserve"> Bins (45-count)</t>
  </si>
  <si>
    <t>WATERMELON (Seeded), FRESH MARKET, TRICKLE IRRIGATED</t>
  </si>
  <si>
    <t>Watermelons, Seeded</t>
  </si>
  <si>
    <t xml:space="preserve">   Watermelon Transplants</t>
  </si>
  <si>
    <t xml:space="preserve"> Bins (24-inch 45-count)</t>
  </si>
  <si>
    <t>Center for Crop Diversification Budget</t>
  </si>
  <si>
    <r>
      <t>Matt Ernst</t>
    </r>
    <r>
      <rPr>
        <vertAlign val="superscript"/>
        <sz val="10"/>
        <rFont val="Arial"/>
        <family val="2"/>
      </rPr>
      <t>1</t>
    </r>
  </si>
  <si>
    <t>annually</t>
  </si>
  <si>
    <t>of gross sales</t>
  </si>
  <si>
    <t>www.uky.edu/ccd</t>
  </si>
  <si>
    <r>
      <rPr>
        <vertAlign val="superscript"/>
        <sz val="8"/>
        <rFont val="Arial"/>
        <family val="2"/>
      </rPr>
      <t>1</t>
    </r>
    <r>
      <rPr>
        <sz val="8"/>
        <rFont val="Arial"/>
        <family val="2"/>
      </rPr>
      <t>Matt Ernst is an independent contractor with the Center for Crop Diversification.</t>
    </r>
  </si>
  <si>
    <t xml:space="preserve">   Grading and Bagging</t>
  </si>
  <si>
    <t>Wash/Pack</t>
  </si>
  <si>
    <t>cwt/hr</t>
  </si>
  <si>
    <t>Grade/Bag</t>
  </si>
  <si>
    <t xml:space="preserve">   Depreciation on Bagging Equipment</t>
  </si>
  <si>
    <t>lbs per hour</t>
  </si>
  <si>
    <t>Harvest &amp; Pack Labor, Handling Hauling Labor</t>
  </si>
  <si>
    <t>crates per hour</t>
  </si>
  <si>
    <t>Boxes harvested per hour</t>
  </si>
  <si>
    <t>Hired Labor for Picking</t>
  </si>
  <si>
    <t xml:space="preserve"> Marketing Costs (% of Gross)</t>
  </si>
  <si>
    <t>Harvest Labor</t>
  </si>
  <si>
    <t>CCD-BG-10</t>
  </si>
  <si>
    <t xml:space="preserve"> </t>
  </si>
  <si>
    <t>Beans</t>
  </si>
  <si>
    <t>Broccoli</t>
  </si>
  <si>
    <t>Cabbage</t>
  </si>
  <si>
    <t>Cantaloupe</t>
  </si>
  <si>
    <t>Eggplant</t>
  </si>
  <si>
    <t>Okra</t>
  </si>
  <si>
    <t>Peppers, Bell</t>
  </si>
  <si>
    <t>Peppers, Jalapeño</t>
  </si>
  <si>
    <t>Pumpkin</t>
  </si>
  <si>
    <t>Squash, Winter</t>
  </si>
  <si>
    <t>Squash, Summer</t>
  </si>
  <si>
    <t>Sweet Corn</t>
  </si>
  <si>
    <t>Sweet Potato</t>
  </si>
  <si>
    <t>Tomato</t>
  </si>
  <si>
    <t>Watermelon, seeded</t>
  </si>
  <si>
    <t>Cucumber</t>
  </si>
  <si>
    <t>Watermelon, seedless</t>
  </si>
  <si>
    <t>Quick Links:</t>
  </si>
  <si>
    <t>Variables:</t>
  </si>
  <si>
    <r>
      <t xml:space="preserve">Kentucky Estimated </t>
    </r>
    <r>
      <rPr>
        <b/>
        <u/>
        <sz val="10"/>
        <rFont val="Arial"/>
      </rPr>
      <t>per Acre</t>
    </r>
    <r>
      <rPr>
        <b/>
        <sz val="10"/>
        <rFont val="Arial"/>
        <family val="2"/>
      </rPr>
      <t xml:space="preserve"> Costs and Returns for 2017</t>
    </r>
  </si>
  <si>
    <t>For more info visit:</t>
  </si>
  <si>
    <t>Cooperative Extension Service | Agriculture and Natural Resources | Family and Consumer Sciences 
 4-H Youth Development | Community and Economic Development</t>
  </si>
  <si>
    <t>b Price based on national season-average price and prices at Ky. produce auctions.</t>
  </si>
  <si>
    <t>c Harvest labor and cooling costs based on reported costs in SC and MS.</t>
  </si>
  <si>
    <t>e Machinery cost calculator updated for KY vegetable production in 2017.</t>
  </si>
  <si>
    <t>e Machinery costs generator (ISU, 2002) using updated fuel, purchase price and replacement cost estimates.</t>
  </si>
  <si>
    <t>f  Updates past harvest and packing cost assumptions and compares to recently published university budget assumptions.</t>
  </si>
  <si>
    <t>g Fertilizer assumption: 64.5 lbs calcium nitrate per week per acre.</t>
  </si>
  <si>
    <t>a Yields based on UK variety trials and grower yield estimates.</t>
  </si>
  <si>
    <t>b Price based on shipping point prices from MO and NC and terminal market price trends in Atlanta, 2016.</t>
  </si>
  <si>
    <t>f  Based on state budgets with revisions by Kentucky vegetable experts.</t>
  </si>
  <si>
    <t>g Fertilizer assumption: 15 lbs 9 oz calcium nitrate per week per 1,000 plants.</t>
  </si>
  <si>
    <t>g Fertilizer assumption: 2.375 lbs calcium nitrate per week per 1,000 plants.</t>
  </si>
  <si>
    <t>b Price based on terminal market price trends in 2016.</t>
  </si>
  <si>
    <t>e Machinery costs generator using updated fuel, purchase price and replacement cost estimates.</t>
  </si>
  <si>
    <t>g Fertilizer assumption: 8.875 calcium nitrate per week per 1,000 plants.</t>
  </si>
  <si>
    <t>a Yields based on past UK variety trials and grower yield estimates; yields are higher on plasticulture.</t>
  </si>
  <si>
    <t>b Price based on terminal market price trends in Atlanta, 2016, and Ky. produce auctions.</t>
  </si>
  <si>
    <t>e Machinery costs generator using updated 2016-17 fuel, purchase price and replacement cost estimates.</t>
  </si>
  <si>
    <t>f  Based on past UK assumptions updated for changes in wage rates. Mississippi State (2015) estimates 330 hours to harvest and grade 400 boxes.</t>
  </si>
  <si>
    <t>b  Price based on USDA AMS Shipping Point and Ky. auction prices, 2016.</t>
  </si>
  <si>
    <t>d  Based on 2015 UK estimate for trickle irrigation and 2017 estimate.</t>
  </si>
  <si>
    <t>e  Pesticide costs based on recommended applications of various products using 2017 product costs.</t>
  </si>
  <si>
    <t>f   Machinery costs based on typical operations and 2017 machinery costs, according to machinery cost generator.</t>
  </si>
  <si>
    <t>g  Based on past Kentucky budgets with increases for increasing wage rates; compares similarly to pepper labor estimates from university budgets published in South Carolina, Mississippi.</t>
  </si>
  <si>
    <t>h  Fertilizer assumption: 4 pounds calcium nitrate per week per 1000 plants.</t>
  </si>
  <si>
    <t>a Yields based on past UK variety trials and grower yield estimates.</t>
  </si>
  <si>
    <t>e Machinery cost calculator updated for vegetable production in 2017.</t>
  </si>
  <si>
    <t>g Fertilizer assumption: 8.5 lbs calcium nitrate per week per 1,000 plants.</t>
  </si>
  <si>
    <t>b Price based on shipping point prices from MO and NC and terminal market price trends in Atlanta, 2016; Ky. auction trends.</t>
  </si>
  <si>
    <t>e Machinery costs generator using updated 2016-17 gasoline, purchase price and replacement cost estimates.</t>
  </si>
  <si>
    <t xml:space="preserve">   Sweet potato Plants</t>
  </si>
  <si>
    <t>a Average yields in nearby states.</t>
  </si>
  <si>
    <t>b Price based on 2016 terminal market prices and season average prices in nearby states.</t>
  </si>
  <si>
    <t>c Growers may elect to irrigate in some instances.</t>
  </si>
  <si>
    <t>b  Price based on USDA season average price and Ky. auction prices, 2016.</t>
  </si>
  <si>
    <t>c  Assumes total cost of stakes and twine in this initial year. Amortizing cost of stakes, or using owned stakes, will reduce this variable cost.</t>
  </si>
  <si>
    <t>d  Based on 2015 UK estimate for trickle irrigation and 2017 irrigation setup cost estimate.</t>
  </si>
  <si>
    <t>a Yields based on UK variety trials and grower yield estimates. Yields on plastic with trickle irrigation will be 300-400 cwt.</t>
  </si>
  <si>
    <t>e Machinery costs generator (ISU, 2002) using updated gasoline, purchase price and replacement cost estimates.</t>
  </si>
  <si>
    <t>g Fertilizer assumption: 17.75 lbs calcium nitrate per week per 1,000 plants.</t>
  </si>
  <si>
    <t>2017 Vegetable and Melon Budgets (Large-scale)</t>
  </si>
  <si>
    <t xml:space="preserve">NOT TO BE CONSIDERED CROPPING RECOMMENDATIONS OR PROFITABILITY PROJECTIONS. </t>
  </si>
  <si>
    <t>FOR COMPARISON AND PLANNING PURPOSES ONLY.</t>
  </si>
  <si>
    <t>a,b  Boxes harvested &amp; packed/hour</t>
  </si>
  <si>
    <t>a,b   Boxes harvested &amp; packed/hour</t>
  </si>
  <si>
    <t>Cwt picked &amp; field graded/hour</t>
  </si>
  <si>
    <t>Large Scale (5 or more acres trickle irrigated)*</t>
  </si>
  <si>
    <t>* Farm has 5 or more acres total in trickle-irrigated crops</t>
  </si>
  <si>
    <t>*  Farm has 5 or more acres total in trickle-irrigated crops</t>
  </si>
  <si>
    <t>boxes/hour</t>
  </si>
  <si>
    <t>Harvest, Handling, Hauling Labor</t>
  </si>
  <si>
    <t xml:space="preserve">Large Scale (5 or more acres trickle irrigated)* </t>
  </si>
  <si>
    <t xml:space="preserve">h  Fertilizer assumption: 11.5 pounds of calcium nitrate per 1,000 plants per week. </t>
  </si>
  <si>
    <t>cwt/hour</t>
  </si>
  <si>
    <t>Large Scale (10 or more acres trickle irrigated)*</t>
  </si>
  <si>
    <t xml:space="preserve">NOT TO BE CONSIDERED CROPPING RECOMMENDATIONS OR PROFITABILITY </t>
  </si>
  <si>
    <t>PROJECTIONS. FOR COMPARISON AND PLANNING PURPOSES ONLY.</t>
  </si>
  <si>
    <t>Budget based on 8712 row feet (5 ft between rows, 2 ft between plants)</t>
  </si>
  <si>
    <t>Budget based on 8712 row feet (5 ft between rows, 1 ft between plants)</t>
  </si>
  <si>
    <t>Budget based on 10890 row feet (4 ft between rows, 1 ft between plants)</t>
  </si>
  <si>
    <t>Budget based on 7260 row feet</t>
  </si>
  <si>
    <t>NOT TO BE CONSIDERED CROPPING RECOMMENDATIONS OR PROFITABILITY</t>
  </si>
  <si>
    <t xml:space="preserve"> PROJECTIONS. FOR COMPARISON AND PLANNING PURPOSES ONLY.</t>
  </si>
  <si>
    <t>Budget based on 8712 row feet (5 ft rows, 1.5 ft between plants)</t>
  </si>
  <si>
    <t xml:space="preserve">NOT TO BE CONSIDERED CROPPING RECOMMENDATIONS OR PROFITABILITY  </t>
  </si>
  <si>
    <t>PROJECTIONS. FOR COMPARISONAND PLANNING PURPOSES ONLY.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</si>
</sst>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quot;$&quot;#,##0.00_);[Red]\(&quot;$&quot;#,##0.00\)"/>
    <numFmt numFmtId="165" formatCode="_(&quot;$&quot;* #,##0.00_);_(&quot;$&quot;* \(#,##0.00\);_(&quot;$&quot;* &quot;-&quot;??_);_(@_)"/>
    <numFmt numFmtId="166" formatCode="_(* #,##0.00_);_(* \(#,##0.00\);_(* &quot;-&quot;??_);_(@_)"/>
    <numFmt numFmtId="167" formatCode="_(* #,##0_);_(* \(#,##0\);_(* &quot;-&quot;??_);_(@_)"/>
    <numFmt numFmtId="168" formatCode="_(* #,##0.0_);_(* \(#,##0.0\);_(* &quot;-&quot;??_);_(@_)"/>
    <numFmt numFmtId="169" formatCode="0.0%"/>
    <numFmt numFmtId="170" formatCode="0.0"/>
  </numFmts>
  <fonts count="18" x14ac:knownFonts="1">
    <font>
      <sz val="10"/>
      <name val="Arial"/>
    </font>
    <font>
      <b/>
      <sz val="10"/>
      <name val="Arial"/>
      <family val="2"/>
    </font>
    <font>
      <sz val="10"/>
      <name val="Arial"/>
      <family val="2"/>
    </font>
    <font>
      <sz val="9"/>
      <name val="Arial"/>
      <family val="2"/>
    </font>
    <font>
      <sz val="10"/>
      <color indexed="10"/>
      <name val="Arial"/>
      <family val="2"/>
    </font>
    <font>
      <b/>
      <sz val="10"/>
      <color rgb="FFFF0000"/>
      <name val="Arial"/>
      <family val="2"/>
    </font>
    <font>
      <sz val="10"/>
      <color rgb="FFFF0000"/>
      <name val="Arial"/>
      <family val="2"/>
    </font>
    <font>
      <b/>
      <sz val="10"/>
      <color indexed="10"/>
      <name val="Arial"/>
      <family val="2"/>
    </font>
    <font>
      <b/>
      <sz val="16"/>
      <name val="Arial"/>
      <family val="2"/>
    </font>
    <font>
      <vertAlign val="superscript"/>
      <sz val="10"/>
      <name val="Arial"/>
      <family val="2"/>
    </font>
    <font>
      <u/>
      <sz val="10"/>
      <color theme="10"/>
      <name val="Arial"/>
      <family val="2"/>
    </font>
    <font>
      <sz val="8"/>
      <name val="Arial"/>
      <family val="2"/>
    </font>
    <font>
      <vertAlign val="superscript"/>
      <sz val="8"/>
      <name val="Arial"/>
      <family val="2"/>
    </font>
    <font>
      <b/>
      <sz val="8"/>
      <name val="Arial"/>
      <family val="2"/>
    </font>
    <font>
      <b/>
      <sz val="5"/>
      <name val="Arial"/>
      <family val="2"/>
    </font>
    <font>
      <b/>
      <u/>
      <sz val="10"/>
      <name val="Arial"/>
    </font>
    <font>
      <u/>
      <sz val="10"/>
      <color theme="11"/>
      <name val="Arial"/>
    </font>
    <font>
      <b/>
      <sz val="9"/>
      <name val="Arial"/>
    </font>
  </fonts>
  <fills count="6">
    <fill>
      <patternFill patternType="none"/>
    </fill>
    <fill>
      <patternFill patternType="gray125"/>
    </fill>
    <fill>
      <patternFill patternType="solid">
        <fgColor theme="0"/>
        <bgColor indexed="64"/>
      </patternFill>
    </fill>
    <fill>
      <patternFill patternType="solid">
        <fgColor rgb="FF008000"/>
        <bgColor indexed="64"/>
      </patternFill>
    </fill>
    <fill>
      <patternFill patternType="solid">
        <fgColor theme="6" tint="0.79998168889431442"/>
        <bgColor indexed="64"/>
      </patternFill>
    </fill>
    <fill>
      <patternFill patternType="solid">
        <fgColor theme="6" tint="0.39997558519241921"/>
        <bgColor indexed="64"/>
      </patternFill>
    </fill>
  </fills>
  <borders count="10">
    <border>
      <left/>
      <right/>
      <top/>
      <bottom/>
      <diagonal/>
    </border>
    <border>
      <left/>
      <right/>
      <top/>
      <bottom style="medium">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top style="medium">
        <color auto="1"/>
      </top>
      <bottom style="medium">
        <color auto="1"/>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s>
  <cellStyleXfs count="34">
    <xf numFmtId="0" fontId="0" fillId="0" borderId="0"/>
    <xf numFmtId="166"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0" fontId="10" fillId="0" borderId="0" applyNumberFormat="0" applyFill="0" applyBorder="0" applyAlignment="0" applyProtection="0">
      <alignment vertical="top"/>
      <protection locked="0"/>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cellStyleXfs>
  <cellXfs count="141">
    <xf numFmtId="0" fontId="0" fillId="0" borderId="0" xfId="0"/>
    <xf numFmtId="0" fontId="1" fillId="0" borderId="0" xfId="0" applyFont="1"/>
    <xf numFmtId="165" fontId="0" fillId="0" borderId="0" xfId="2" applyFont="1"/>
    <xf numFmtId="0" fontId="2" fillId="0" borderId="0" xfId="0" applyFont="1"/>
    <xf numFmtId="0" fontId="3" fillId="0" borderId="0" xfId="0" applyFont="1"/>
    <xf numFmtId="165" fontId="0" fillId="0" borderId="0" xfId="0" applyNumberFormat="1"/>
    <xf numFmtId="165" fontId="1" fillId="0" borderId="0" xfId="0" applyNumberFormat="1" applyFont="1"/>
    <xf numFmtId="167" fontId="0" fillId="0" borderId="0" xfId="1" applyNumberFormat="1" applyFont="1"/>
    <xf numFmtId="168" fontId="0" fillId="0" borderId="0" xfId="1" applyNumberFormat="1" applyFont="1"/>
    <xf numFmtId="169" fontId="0" fillId="0" borderId="0" xfId="3" applyNumberFormat="1" applyFont="1"/>
    <xf numFmtId="165" fontId="1" fillId="0" borderId="0" xfId="2" applyFont="1"/>
    <xf numFmtId="9" fontId="0" fillId="0" borderId="0" xfId="3" applyFont="1"/>
    <xf numFmtId="0" fontId="1" fillId="0" borderId="0" xfId="4" applyFont="1"/>
    <xf numFmtId="0" fontId="2" fillId="0" borderId="0" xfId="4"/>
    <xf numFmtId="0" fontId="2" fillId="0" borderId="0" xfId="4" applyFont="1"/>
    <xf numFmtId="164" fontId="1" fillId="0" borderId="0" xfId="4" applyNumberFormat="1" applyFont="1"/>
    <xf numFmtId="0" fontId="4" fillId="0" borderId="0" xfId="4" applyFont="1"/>
    <xf numFmtId="0" fontId="3" fillId="0" borderId="0" xfId="4" applyFont="1"/>
    <xf numFmtId="165" fontId="1" fillId="0" borderId="0" xfId="4" applyNumberFormat="1" applyFont="1"/>
    <xf numFmtId="0" fontId="2" fillId="0" borderId="0" xfId="4" applyFill="1"/>
    <xf numFmtId="170" fontId="2" fillId="0" borderId="0" xfId="4" applyNumberFormat="1"/>
    <xf numFmtId="165" fontId="0" fillId="0" borderId="0" xfId="2" applyFont="1" applyFill="1"/>
    <xf numFmtId="1" fontId="2" fillId="0" borderId="0" xfId="4" applyNumberFormat="1"/>
    <xf numFmtId="165" fontId="2" fillId="0" borderId="0" xfId="4" applyNumberFormat="1" applyFill="1"/>
    <xf numFmtId="165" fontId="2" fillId="0" borderId="0" xfId="4" applyNumberFormat="1" applyFont="1" applyFill="1"/>
    <xf numFmtId="167" fontId="0" fillId="0" borderId="0" xfId="1" applyNumberFormat="1" applyFont="1" applyFill="1"/>
    <xf numFmtId="167" fontId="2" fillId="0" borderId="0" xfId="4" applyNumberFormat="1"/>
    <xf numFmtId="165" fontId="2" fillId="0" borderId="0" xfId="4" applyNumberFormat="1"/>
    <xf numFmtId="169" fontId="2" fillId="0" borderId="0" xfId="3" applyNumberFormat="1" applyFont="1" applyFill="1"/>
    <xf numFmtId="0" fontId="5" fillId="0" borderId="0" xfId="4" applyFont="1" applyFill="1"/>
    <xf numFmtId="9" fontId="0" fillId="0" borderId="0" xfId="3" applyFont="1" applyFill="1"/>
    <xf numFmtId="1" fontId="0" fillId="0" borderId="0" xfId="0" applyNumberFormat="1"/>
    <xf numFmtId="0" fontId="4" fillId="0" borderId="0" xfId="0" applyFont="1"/>
    <xf numFmtId="0" fontId="0" fillId="0" borderId="0" xfId="0" applyAlignment="1">
      <alignment horizontal="left"/>
    </xf>
    <xf numFmtId="2" fontId="0" fillId="0" borderId="0" xfId="0" applyNumberFormat="1"/>
    <xf numFmtId="0" fontId="1" fillId="0" borderId="0" xfId="4" applyFont="1" applyFill="1"/>
    <xf numFmtId="0" fontId="0" fillId="0" borderId="0" xfId="0" applyFill="1"/>
    <xf numFmtId="170" fontId="0" fillId="0" borderId="0" xfId="0" applyNumberFormat="1"/>
    <xf numFmtId="165" fontId="0" fillId="0" borderId="0" xfId="0" applyNumberFormat="1" applyFill="1"/>
    <xf numFmtId="165" fontId="2" fillId="0" borderId="0" xfId="0" applyNumberFormat="1" applyFont="1" applyFill="1"/>
    <xf numFmtId="167" fontId="0" fillId="0" borderId="0" xfId="0" applyNumberFormat="1"/>
    <xf numFmtId="164" fontId="1" fillId="0" borderId="0" xfId="0" applyNumberFormat="1" applyFont="1"/>
    <xf numFmtId="166" fontId="0" fillId="0" borderId="0" xfId="1" applyFont="1"/>
    <xf numFmtId="165" fontId="0" fillId="0" borderId="0" xfId="2" applyFont="1" applyBorder="1"/>
    <xf numFmtId="0" fontId="0" fillId="0" borderId="1" xfId="0" applyBorder="1"/>
    <xf numFmtId="0" fontId="0" fillId="0" borderId="0" xfId="0" applyAlignment="1">
      <alignment wrapText="1"/>
    </xf>
    <xf numFmtId="0" fontId="0" fillId="0" borderId="0" xfId="0" applyBorder="1"/>
    <xf numFmtId="165" fontId="5" fillId="0" borderId="0" xfId="2" applyFont="1"/>
    <xf numFmtId="9" fontId="5" fillId="0" borderId="0" xfId="3" applyFont="1"/>
    <xf numFmtId="0" fontId="11" fillId="0" borderId="0" xfId="0" applyFont="1"/>
    <xf numFmtId="0" fontId="1" fillId="2" borderId="0" xfId="4" applyFont="1" applyFill="1"/>
    <xf numFmtId="0" fontId="0" fillId="3" borderId="0" xfId="0" applyFill="1"/>
    <xf numFmtId="0" fontId="0" fillId="0" borderId="2" xfId="0" applyBorder="1"/>
    <xf numFmtId="165" fontId="0" fillId="0" borderId="2" xfId="2" applyFont="1" applyBorder="1"/>
    <xf numFmtId="169" fontId="0" fillId="0" borderId="2" xfId="3" applyNumberFormat="1" applyFont="1" applyBorder="1"/>
    <xf numFmtId="0" fontId="1" fillId="0" borderId="3" xfId="0" applyFont="1" applyBorder="1"/>
    <xf numFmtId="0" fontId="0" fillId="0" borderId="3" xfId="0" applyBorder="1"/>
    <xf numFmtId="165" fontId="1" fillId="0" borderId="3" xfId="0" applyNumberFormat="1" applyFont="1" applyBorder="1"/>
    <xf numFmtId="0" fontId="1" fillId="0" borderId="1" xfId="0" applyFont="1" applyBorder="1"/>
    <xf numFmtId="165" fontId="1" fillId="0" borderId="1" xfId="0" applyNumberFormat="1" applyFont="1" applyBorder="1"/>
    <xf numFmtId="0" fontId="1" fillId="0" borderId="0" xfId="0" applyFont="1" applyBorder="1"/>
    <xf numFmtId="0" fontId="0" fillId="0" borderId="0" xfId="0" applyFill="1" applyBorder="1"/>
    <xf numFmtId="0" fontId="0" fillId="0" borderId="1" xfId="0" applyFill="1" applyBorder="1"/>
    <xf numFmtId="0" fontId="2" fillId="0" borderId="0" xfId="0" applyFont="1" applyFill="1" applyAlignment="1">
      <alignment wrapText="1"/>
    </xf>
    <xf numFmtId="0" fontId="0" fillId="0" borderId="0" xfId="0" applyFill="1" applyAlignment="1">
      <alignment wrapText="1"/>
    </xf>
    <xf numFmtId="0" fontId="10" fillId="0" borderId="1" xfId="6" applyBorder="1" applyAlignment="1" applyProtection="1">
      <alignment horizontal="center" vertical="center"/>
    </xf>
    <xf numFmtId="0" fontId="0" fillId="0" borderId="1" xfId="0" applyBorder="1" applyAlignment="1">
      <alignment horizontal="center" vertical="center"/>
    </xf>
    <xf numFmtId="0" fontId="2" fillId="3" borderId="0" xfId="4" applyFill="1"/>
    <xf numFmtId="0" fontId="2" fillId="0" borderId="2" xfId="4" applyBorder="1"/>
    <xf numFmtId="165" fontId="0" fillId="0" borderId="2" xfId="2" applyFont="1" applyFill="1" applyBorder="1"/>
    <xf numFmtId="0" fontId="1" fillId="0" borderId="3" xfId="4" applyFont="1" applyBorder="1"/>
    <xf numFmtId="0" fontId="2" fillId="0" borderId="3" xfId="4" applyBorder="1"/>
    <xf numFmtId="165" fontId="1" fillId="0" borderId="3" xfId="4" applyNumberFormat="1" applyFont="1" applyBorder="1"/>
    <xf numFmtId="0" fontId="2" fillId="0" borderId="0" xfId="4" applyBorder="1"/>
    <xf numFmtId="165" fontId="2" fillId="0" borderId="3" xfId="4" applyNumberFormat="1" applyBorder="1"/>
    <xf numFmtId="0" fontId="1" fillId="0" borderId="1" xfId="4" applyFont="1" applyBorder="1"/>
    <xf numFmtId="0" fontId="2" fillId="0" borderId="1" xfId="4" applyBorder="1"/>
    <xf numFmtId="165" fontId="1" fillId="0" borderId="1" xfId="4" applyNumberFormat="1" applyFont="1" applyBorder="1"/>
    <xf numFmtId="0" fontId="1" fillId="0" borderId="6" xfId="4" applyFont="1" applyBorder="1"/>
    <xf numFmtId="0" fontId="2" fillId="0" borderId="6" xfId="4" applyBorder="1"/>
    <xf numFmtId="165" fontId="1" fillId="0" borderId="6" xfId="4" applyNumberFormat="1" applyFont="1" applyBorder="1"/>
    <xf numFmtId="1" fontId="2" fillId="0" borderId="2" xfId="4" applyNumberFormat="1" applyBorder="1"/>
    <xf numFmtId="0" fontId="2" fillId="0" borderId="2" xfId="4" applyFont="1" applyBorder="1"/>
    <xf numFmtId="165" fontId="0" fillId="0" borderId="3" xfId="0" applyNumberFormat="1" applyBorder="1"/>
    <xf numFmtId="1" fontId="0" fillId="0" borderId="2" xfId="0" applyNumberFormat="1" applyBorder="1"/>
    <xf numFmtId="0" fontId="2" fillId="0" borderId="2" xfId="0" applyFont="1" applyBorder="1"/>
    <xf numFmtId="0" fontId="1" fillId="0" borderId="6" xfId="0" applyFont="1" applyBorder="1"/>
    <xf numFmtId="0" fontId="0" fillId="0" borderId="6" xfId="0" applyBorder="1"/>
    <xf numFmtId="165" fontId="1" fillId="0" borderId="6" xfId="0" applyNumberFormat="1" applyFont="1" applyBorder="1"/>
    <xf numFmtId="167" fontId="0" fillId="0" borderId="0" xfId="1" applyNumberFormat="1" applyFont="1" applyFill="1" applyBorder="1"/>
    <xf numFmtId="167" fontId="0" fillId="0" borderId="2" xfId="0" applyNumberFormat="1" applyBorder="1"/>
    <xf numFmtId="165" fontId="0" fillId="0" borderId="0" xfId="2" applyFont="1" applyFill="1" applyBorder="1"/>
    <xf numFmtId="0" fontId="1" fillId="0" borderId="5" xfId="0" applyFont="1" applyBorder="1"/>
    <xf numFmtId="0" fontId="0" fillId="0" borderId="5" xfId="0" applyBorder="1"/>
    <xf numFmtId="165" fontId="0" fillId="0" borderId="5" xfId="0" applyNumberFormat="1" applyBorder="1"/>
    <xf numFmtId="9" fontId="5" fillId="0" borderId="1" xfId="3" applyFont="1" applyBorder="1"/>
    <xf numFmtId="0" fontId="2" fillId="0" borderId="1" xfId="0" applyFont="1" applyBorder="1"/>
    <xf numFmtId="0" fontId="0" fillId="0" borderId="0" xfId="0" applyAlignment="1">
      <alignment horizontal="center"/>
    </xf>
    <xf numFmtId="0" fontId="6" fillId="0" borderId="0" xfId="0" applyFont="1" applyAlignment="1">
      <alignment horizontal="center"/>
    </xf>
    <xf numFmtId="165" fontId="0" fillId="0" borderId="0" xfId="2" applyFont="1" applyAlignment="1">
      <alignment horizontal="center"/>
    </xf>
    <xf numFmtId="0" fontId="0" fillId="0" borderId="2" xfId="0" applyBorder="1" applyAlignment="1">
      <alignment horizontal="right"/>
    </xf>
    <xf numFmtId="0" fontId="0" fillId="0" borderId="0" xfId="0" applyAlignment="1">
      <alignment horizontal="right"/>
    </xf>
    <xf numFmtId="165" fontId="0" fillId="0" borderId="0" xfId="2" applyFont="1" applyAlignment="1">
      <alignment horizontal="right"/>
    </xf>
    <xf numFmtId="0" fontId="2" fillId="0" borderId="2" xfId="4" applyBorder="1" applyAlignment="1">
      <alignment horizontal="right"/>
    </xf>
    <xf numFmtId="0" fontId="4" fillId="0" borderId="0" xfId="4" applyFont="1" applyAlignment="1">
      <alignment horizontal="right"/>
    </xf>
    <xf numFmtId="0" fontId="2" fillId="0" borderId="0" xfId="4" applyAlignment="1">
      <alignment horizontal="right"/>
    </xf>
    <xf numFmtId="167" fontId="4" fillId="0" borderId="0" xfId="1" applyNumberFormat="1" applyFont="1" applyAlignment="1">
      <alignment horizontal="right"/>
    </xf>
    <xf numFmtId="1" fontId="2" fillId="0" borderId="0" xfId="4" applyNumberFormat="1" applyFont="1" applyAlignment="1">
      <alignment horizontal="right"/>
    </xf>
    <xf numFmtId="165" fontId="0" fillId="0" borderId="0" xfId="2" applyFont="1" applyFill="1" applyAlignment="1">
      <alignment horizontal="right"/>
    </xf>
    <xf numFmtId="165" fontId="1" fillId="0" borderId="0" xfId="4" applyNumberFormat="1" applyFont="1" applyAlignment="1">
      <alignment horizontal="right"/>
    </xf>
    <xf numFmtId="0" fontId="7" fillId="0" borderId="0" xfId="4" applyFont="1" applyFill="1" applyAlignment="1">
      <alignment horizontal="right"/>
    </xf>
    <xf numFmtId="0" fontId="7" fillId="0" borderId="0" xfId="0" applyFont="1" applyFill="1" applyAlignment="1">
      <alignment horizontal="right"/>
    </xf>
    <xf numFmtId="1" fontId="2" fillId="0" borderId="0" xfId="0" applyNumberFormat="1" applyFont="1" applyAlignment="1">
      <alignment horizontal="right"/>
    </xf>
    <xf numFmtId="165" fontId="1" fillId="0" borderId="0" xfId="0" applyNumberFormat="1" applyFont="1" applyAlignment="1">
      <alignment horizontal="right"/>
    </xf>
    <xf numFmtId="0" fontId="4" fillId="0" borderId="0" xfId="0" applyFont="1" applyAlignment="1">
      <alignment horizontal="right"/>
    </xf>
    <xf numFmtId="0" fontId="0" fillId="0" borderId="2" xfId="0" applyFont="1" applyBorder="1" applyAlignment="1">
      <alignment horizontal="right"/>
    </xf>
    <xf numFmtId="165" fontId="1" fillId="0" borderId="0" xfId="2" applyFont="1" applyAlignment="1">
      <alignment horizontal="right"/>
    </xf>
    <xf numFmtId="0" fontId="1" fillId="0" borderId="0" xfId="4" applyFont="1" applyAlignment="1">
      <alignment horizontal="left"/>
    </xf>
    <xf numFmtId="0" fontId="0" fillId="0" borderId="0" xfId="4" applyFont="1"/>
    <xf numFmtId="165" fontId="1" fillId="0" borderId="0" xfId="0" applyNumberFormat="1" applyFont="1" applyBorder="1"/>
    <xf numFmtId="0" fontId="17" fillId="0" borderId="0" xfId="4" applyFont="1"/>
    <xf numFmtId="0" fontId="1" fillId="0" borderId="0" xfId="0" applyFont="1" applyBorder="1"/>
    <xf numFmtId="0" fontId="10" fillId="4" borderId="4" xfId="6" applyFill="1" applyBorder="1" applyAlignment="1" applyProtection="1">
      <alignment horizontal="center" vertical="center"/>
    </xf>
    <xf numFmtId="0" fontId="10" fillId="5" borderId="4" xfId="6" applyFill="1" applyBorder="1" applyAlignment="1" applyProtection="1">
      <alignment horizontal="center" vertical="center"/>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0" fillId="4" borderId="4" xfId="6" applyFont="1" applyFill="1" applyBorder="1" applyAlignment="1" applyProtection="1">
      <alignment horizontal="center" vertical="center"/>
    </xf>
    <xf numFmtId="0" fontId="10" fillId="5" borderId="4" xfId="6" applyFont="1" applyFill="1" applyBorder="1" applyAlignment="1" applyProtection="1">
      <alignment horizontal="center" vertical="center"/>
    </xf>
    <xf numFmtId="0" fontId="0" fillId="0" borderId="0" xfId="0" applyAlignment="1">
      <alignment horizontal="center"/>
    </xf>
    <xf numFmtId="0" fontId="10" fillId="0" borderId="0" xfId="6" applyBorder="1" applyAlignment="1" applyProtection="1">
      <alignment horizontal="center" vertical="center"/>
    </xf>
    <xf numFmtId="9" fontId="10" fillId="4" borderId="4" xfId="6" applyNumberFormat="1" applyFill="1" applyBorder="1" applyAlignment="1" applyProtection="1">
      <alignment horizontal="center" vertical="center"/>
    </xf>
    <xf numFmtId="0" fontId="2" fillId="0" borderId="0" xfId="0" applyFont="1" applyAlignment="1">
      <alignment wrapText="1"/>
    </xf>
    <xf numFmtId="0" fontId="8" fillId="0" borderId="0" xfId="0" applyFont="1" applyAlignment="1">
      <alignment horizontal="center"/>
    </xf>
    <xf numFmtId="0" fontId="2" fillId="0" borderId="0" xfId="0" applyFont="1" applyAlignment="1">
      <alignment horizontal="center"/>
    </xf>
    <xf numFmtId="0" fontId="1" fillId="0" borderId="0" xfId="0" applyFont="1" applyBorder="1"/>
    <xf numFmtId="0" fontId="3" fillId="0" borderId="0" xfId="0" applyFont="1" applyBorder="1" applyAlignment="1"/>
    <xf numFmtId="0" fontId="3" fillId="0" borderId="7" xfId="0" applyFont="1" applyBorder="1" applyAlignment="1"/>
    <xf numFmtId="0" fontId="0" fillId="0" borderId="0" xfId="0" applyBorder="1" applyAlignment="1"/>
    <xf numFmtId="0" fontId="0" fillId="0" borderId="7" xfId="0" applyBorder="1" applyAlignment="1"/>
    <xf numFmtId="0" fontId="0" fillId="0" borderId="8" xfId="0" applyBorder="1" applyAlignment="1"/>
    <xf numFmtId="0" fontId="0" fillId="0" borderId="9" xfId="0" applyBorder="1" applyAlignment="1"/>
  </cellXfs>
  <cellStyles count="34">
    <cellStyle name="Comma" xfId="1" builtinId="3"/>
    <cellStyle name="Comma 2" xfId="5"/>
    <cellStyle name="Currency" xfId="2" builtinId="4"/>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Hyperlink" xfId="6" builtinId="8"/>
    <cellStyle name="Normal" xfId="0" builtinId="0" customBuiltin="1"/>
    <cellStyle name="Normal 2" xfId="4"/>
    <cellStyle name="Percent" xfId="3" builtinId="5"/>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hyperlink" Target="http://www.uky.edu/ccd/content/vegetable-and-melon-budgets-2017"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12663</xdr:colOff>
      <xdr:row>1</xdr:row>
      <xdr:rowOff>44320</xdr:rowOff>
    </xdr:from>
    <xdr:to>
      <xdr:col>9</xdr:col>
      <xdr:colOff>626512</xdr:colOff>
      <xdr:row>4</xdr:row>
      <xdr:rowOff>130403</xdr:rowOff>
    </xdr:to>
    <xdr:pic>
      <xdr:nvPicPr>
        <xdr:cNvPr id="2" name="Picture 1" descr="UK_logo_College_CES_wordmark_blk.jpg"/>
        <xdr:cNvPicPr>
          <a:picLocks noChangeAspect="1"/>
        </xdr:cNvPicPr>
      </xdr:nvPicPr>
      <xdr:blipFill>
        <a:blip xmlns:r="http://schemas.openxmlformats.org/officeDocument/2006/relationships" r:embed="rId1" cstate="print"/>
        <a:stretch>
          <a:fillRect/>
        </a:stretch>
      </xdr:blipFill>
      <xdr:spPr>
        <a:xfrm>
          <a:off x="3458596" y="213653"/>
          <a:ext cx="2620449" cy="543283"/>
        </a:xfrm>
        <a:prstGeom prst="rect">
          <a:avLst/>
        </a:prstGeom>
      </xdr:spPr>
    </xdr:pic>
    <xdr:clientData/>
  </xdr:twoCellAnchor>
  <xdr:twoCellAnchor>
    <xdr:from>
      <xdr:col>0</xdr:col>
      <xdr:colOff>0</xdr:colOff>
      <xdr:row>8</xdr:row>
      <xdr:rowOff>0</xdr:rowOff>
    </xdr:from>
    <xdr:to>
      <xdr:col>9</xdr:col>
      <xdr:colOff>584200</xdr:colOff>
      <xdr:row>17</xdr:row>
      <xdr:rowOff>88900</xdr:rowOff>
    </xdr:to>
    <xdr:sp macro="" textlink="">
      <xdr:nvSpPr>
        <xdr:cNvPr id="3" name="TextBox 2"/>
        <xdr:cNvSpPr txBox="1"/>
      </xdr:nvSpPr>
      <xdr:spPr>
        <a:xfrm>
          <a:off x="0" y="1282700"/>
          <a:ext cx="6007100" cy="1828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commercial vegetable and melon budgets compare and analyze profitability between crops using assumptions developed during the 2017 season. These budgets should not be considered as production recommendations or profitability projections. Production practices vary widely between farms and regions. </a:t>
          </a:r>
        </a:p>
        <a:p>
          <a:endParaRPr lang="en-US" sz="1100"/>
        </a:p>
        <a:p>
          <a:r>
            <a:rPr lang="en-US" sz="1100"/>
            <a:t>Producers may request details for each budget from the Center for Crop Diversification. Budget details will allow greater comparison of budget assumptions with a user's actual field situation.</a:t>
          </a:r>
        </a:p>
        <a:p>
          <a:endParaRPr lang="en-US" sz="1100"/>
        </a:p>
        <a:p>
          <a:r>
            <a:rPr lang="en-US" sz="1100"/>
            <a:t>All values may be changed within each budget worksheet. Spreadsheet users may also change the most common variables across crops using the cells below:</a:t>
          </a:r>
        </a:p>
      </xdr:txBody>
    </xdr:sp>
    <xdr:clientData/>
  </xdr:twoCellAnchor>
  <xdr:twoCellAnchor>
    <xdr:from>
      <xdr:col>0</xdr:col>
      <xdr:colOff>31750</xdr:colOff>
      <xdr:row>31</xdr:row>
      <xdr:rowOff>103737</xdr:rowOff>
    </xdr:from>
    <xdr:to>
      <xdr:col>9</xdr:col>
      <xdr:colOff>635000</xdr:colOff>
      <xdr:row>40</xdr:row>
      <xdr:rowOff>0</xdr:rowOff>
    </xdr:to>
    <xdr:sp macro="" textlink="">
      <xdr:nvSpPr>
        <xdr:cNvPr id="5" name="TextBox 4"/>
        <xdr:cNvSpPr txBox="1"/>
      </xdr:nvSpPr>
      <xdr:spPr>
        <a:xfrm>
          <a:off x="31750" y="6064270"/>
          <a:ext cx="6055783" cy="12678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Some budgets assign a per-box cost for packing. This cost changes depending on the hired labor rate. Harvest and packing rates may be changed using the appropriate cell on the right of the budget worksheet.</a:t>
          </a:r>
        </a:p>
        <a:p>
          <a:endParaRPr lang="en-US" sz="1100"/>
        </a:p>
        <a:p>
          <a:r>
            <a:rPr lang="en-US" sz="1100"/>
            <a:t>The author gratefully acknowledges contributions and reviews from UK Extension specialist Shawn Wright, former Extension specialist Shubin Saha, Ric Bessin, Extension Entomologist, and Emily Pfeufer, Extension Plant Pathologist.</a:t>
          </a:r>
        </a:p>
      </xdr:txBody>
    </xdr:sp>
    <xdr:clientData/>
  </xdr:twoCellAnchor>
  <xdr:twoCellAnchor editAs="absolute">
    <xdr:from>
      <xdr:col>2</xdr:col>
      <xdr:colOff>286944</xdr:colOff>
      <xdr:row>40</xdr:row>
      <xdr:rowOff>42335</xdr:rowOff>
    </xdr:from>
    <xdr:to>
      <xdr:col>4</xdr:col>
      <xdr:colOff>352684</xdr:colOff>
      <xdr:row>42</xdr:row>
      <xdr:rowOff>84666</xdr:rowOff>
    </xdr:to>
    <xdr:pic>
      <xdr:nvPicPr>
        <xdr:cNvPr id="4" name="Picture 3" descr="CCD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6644" y="7344835"/>
          <a:ext cx="1411940" cy="5376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133350</xdr:colOff>
      <xdr:row>0</xdr:row>
      <xdr:rowOff>25400</xdr:rowOff>
    </xdr:from>
    <xdr:to>
      <xdr:col>11</xdr:col>
      <xdr:colOff>177800</xdr:colOff>
      <xdr:row>4</xdr:row>
      <xdr:rowOff>22839</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08650" y="25400"/>
          <a:ext cx="1530350" cy="607039"/>
        </a:xfrm>
        <a:prstGeom prst="rect">
          <a:avLst/>
        </a:prstGeom>
      </xdr:spPr>
    </xdr:pic>
    <xdr:clientData/>
  </xdr:twoCellAnchor>
  <xdr:oneCellAnchor>
    <xdr:from>
      <xdr:col>8</xdr:col>
      <xdr:colOff>69850</xdr:colOff>
      <xdr:row>4</xdr:row>
      <xdr:rowOff>50800</xdr:rowOff>
    </xdr:from>
    <xdr:ext cx="2025650" cy="184150"/>
    <xdr:sp macro="" textlink="">
      <xdr:nvSpPr>
        <xdr:cNvPr id="4" name="TextBox 3">
          <a:hlinkClick xmlns:r="http://schemas.openxmlformats.org/officeDocument/2006/relationships" r:id="rId2"/>
        </xdr:cNvPr>
        <xdr:cNvSpPr txBox="1"/>
      </xdr:nvSpPr>
      <xdr:spPr>
        <a:xfrm>
          <a:off x="5645150" y="660400"/>
          <a:ext cx="2025650" cy="184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100">
              <a:solidFill>
                <a:srgbClr val="3366FF"/>
              </a:solidFill>
            </a:rPr>
            <a:t>Click here for print version</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539750</xdr:colOff>
      <xdr:row>0</xdr:row>
      <xdr:rowOff>57150</xdr:rowOff>
    </xdr:from>
    <xdr:to>
      <xdr:col>10</xdr:col>
      <xdr:colOff>254000</xdr:colOff>
      <xdr:row>4</xdr:row>
      <xdr:rowOff>19325</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9850" y="57150"/>
          <a:ext cx="1441450" cy="571775"/>
        </a:xfrm>
        <a:prstGeom prst="rect">
          <a:avLst/>
        </a:prstGeom>
      </xdr:spPr>
    </xdr:pic>
    <xdr:clientData/>
  </xdr:twoCellAnchor>
  <xdr:twoCellAnchor>
    <xdr:from>
      <xdr:col>7</xdr:col>
      <xdr:colOff>469900</xdr:colOff>
      <xdr:row>4</xdr:row>
      <xdr:rowOff>57150</xdr:rowOff>
    </xdr:from>
    <xdr:to>
      <xdr:col>10</xdr:col>
      <xdr:colOff>590550</xdr:colOff>
      <xdr:row>5</xdr:row>
      <xdr:rowOff>76200</xdr:rowOff>
    </xdr:to>
    <xdr:sp macro="" textlink="">
      <xdr:nvSpPr>
        <xdr:cNvPr id="4" name="TextBox 3">
          <a:hlinkClick xmlns:r="http://schemas.openxmlformats.org/officeDocument/2006/relationships" r:id="rId2"/>
        </xdr:cNvPr>
        <xdr:cNvSpPr txBox="1"/>
      </xdr:nvSpPr>
      <xdr:spPr>
        <a:xfrm>
          <a:off x="5080000" y="666750"/>
          <a:ext cx="1847850" cy="17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1003300</xdr:colOff>
      <xdr:row>0</xdr:row>
      <xdr:rowOff>31751</xdr:rowOff>
    </xdr:from>
    <xdr:to>
      <xdr:col>9</xdr:col>
      <xdr:colOff>114300</xdr:colOff>
      <xdr:row>4</xdr:row>
      <xdr:rowOff>51859</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0" y="31751"/>
          <a:ext cx="1587500" cy="629708"/>
        </a:xfrm>
        <a:prstGeom prst="rect">
          <a:avLst/>
        </a:prstGeom>
      </xdr:spPr>
    </xdr:pic>
    <xdr:clientData/>
  </xdr:twoCellAnchor>
  <xdr:twoCellAnchor>
    <xdr:from>
      <xdr:col>7</xdr:col>
      <xdr:colOff>965200</xdr:colOff>
      <xdr:row>5</xdr:row>
      <xdr:rowOff>0</xdr:rowOff>
    </xdr:from>
    <xdr:to>
      <xdr:col>9</xdr:col>
      <xdr:colOff>184150</xdr:colOff>
      <xdr:row>6</xdr:row>
      <xdr:rowOff>107950</xdr:rowOff>
    </xdr:to>
    <xdr:sp macro="" textlink="">
      <xdr:nvSpPr>
        <xdr:cNvPr id="5" name="TextBox 4">
          <a:hlinkClick xmlns:r="http://schemas.openxmlformats.org/officeDocument/2006/relationships" r:id="rId2"/>
        </xdr:cNvPr>
        <xdr:cNvSpPr txBox="1"/>
      </xdr:nvSpPr>
      <xdr:spPr>
        <a:xfrm>
          <a:off x="6375400" y="762000"/>
          <a:ext cx="169545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1441450</xdr:colOff>
      <xdr:row>0</xdr:row>
      <xdr:rowOff>50801</xdr:rowOff>
    </xdr:from>
    <xdr:to>
      <xdr:col>9</xdr:col>
      <xdr:colOff>469900</xdr:colOff>
      <xdr:row>4</xdr:row>
      <xdr:rowOff>38165</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45250" y="50801"/>
          <a:ext cx="1504950" cy="596964"/>
        </a:xfrm>
        <a:prstGeom prst="rect">
          <a:avLst/>
        </a:prstGeom>
      </xdr:spPr>
    </xdr:pic>
    <xdr:clientData/>
  </xdr:twoCellAnchor>
  <xdr:twoCellAnchor>
    <xdr:from>
      <xdr:col>7</xdr:col>
      <xdr:colOff>1371613</xdr:colOff>
      <xdr:row>4</xdr:row>
      <xdr:rowOff>101601</xdr:rowOff>
    </xdr:from>
    <xdr:to>
      <xdr:col>9</xdr:col>
      <xdr:colOff>617778</xdr:colOff>
      <xdr:row>5</xdr:row>
      <xdr:rowOff>146051</xdr:rowOff>
    </xdr:to>
    <xdr:sp macro="" textlink="">
      <xdr:nvSpPr>
        <xdr:cNvPr id="4" name="TextBox 3">
          <a:hlinkClick xmlns:r="http://schemas.openxmlformats.org/officeDocument/2006/relationships" r:id="rId2"/>
        </xdr:cNvPr>
        <xdr:cNvSpPr txBox="1"/>
      </xdr:nvSpPr>
      <xdr:spPr>
        <a:xfrm>
          <a:off x="6386299" y="711201"/>
          <a:ext cx="1662793" cy="19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535569</xdr:colOff>
      <xdr:row>0</xdr:row>
      <xdr:rowOff>6195</xdr:rowOff>
    </xdr:from>
    <xdr:to>
      <xdr:col>12</xdr:col>
      <xdr:colOff>6351</xdr:colOff>
      <xdr:row>3</xdr:row>
      <xdr:rowOff>145959</xdr:rowOff>
    </xdr:to>
    <xdr:pic>
      <xdr:nvPicPr>
        <xdr:cNvPr id="3" name="Picture 2"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71325" y="6195"/>
          <a:ext cx="1508977" cy="604398"/>
        </a:xfrm>
        <a:prstGeom prst="rect">
          <a:avLst/>
        </a:prstGeom>
      </xdr:spPr>
    </xdr:pic>
    <xdr:clientData/>
  </xdr:twoCellAnchor>
  <xdr:twoCellAnchor>
    <xdr:from>
      <xdr:col>7</xdr:col>
      <xdr:colOff>477028</xdr:colOff>
      <xdr:row>4</xdr:row>
      <xdr:rowOff>0</xdr:rowOff>
    </xdr:from>
    <xdr:to>
      <xdr:col>12</xdr:col>
      <xdr:colOff>92311</xdr:colOff>
      <xdr:row>5</xdr:row>
      <xdr:rowOff>101600</xdr:rowOff>
    </xdr:to>
    <xdr:sp macro="" textlink="">
      <xdr:nvSpPr>
        <xdr:cNvPr id="4" name="TextBox 3">
          <a:hlinkClick xmlns:r="http://schemas.openxmlformats.org/officeDocument/2006/relationships" r:id="rId2"/>
        </xdr:cNvPr>
        <xdr:cNvSpPr txBox="1"/>
      </xdr:nvSpPr>
      <xdr:spPr>
        <a:xfrm>
          <a:off x="5612784" y="619512"/>
          <a:ext cx="1653478" cy="2564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2368550</xdr:colOff>
      <xdr:row>0</xdr:row>
      <xdr:rowOff>12700</xdr:rowOff>
    </xdr:from>
    <xdr:to>
      <xdr:col>9</xdr:col>
      <xdr:colOff>565150</xdr:colOff>
      <xdr:row>3</xdr:row>
      <xdr:rowOff>144907</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75450" y="12700"/>
          <a:ext cx="1485900" cy="589407"/>
        </a:xfrm>
        <a:prstGeom prst="rect">
          <a:avLst/>
        </a:prstGeom>
      </xdr:spPr>
    </xdr:pic>
    <xdr:clientData/>
  </xdr:twoCellAnchor>
  <xdr:twoCellAnchor>
    <xdr:from>
      <xdr:col>7</xdr:col>
      <xdr:colOff>2273300</xdr:colOff>
      <xdr:row>4</xdr:row>
      <xdr:rowOff>38100</xdr:rowOff>
    </xdr:from>
    <xdr:to>
      <xdr:col>9</xdr:col>
      <xdr:colOff>647700</xdr:colOff>
      <xdr:row>5</xdr:row>
      <xdr:rowOff>107950</xdr:rowOff>
    </xdr:to>
    <xdr:sp macro="" textlink="">
      <xdr:nvSpPr>
        <xdr:cNvPr id="5" name="TextBox 4">
          <a:hlinkClick xmlns:r="http://schemas.openxmlformats.org/officeDocument/2006/relationships" r:id="rId2"/>
        </xdr:cNvPr>
        <xdr:cNvSpPr txBox="1"/>
      </xdr:nvSpPr>
      <xdr:spPr>
        <a:xfrm>
          <a:off x="6680200" y="647700"/>
          <a:ext cx="1663700" cy="22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666750</xdr:colOff>
      <xdr:row>0</xdr:row>
      <xdr:rowOff>18901</xdr:rowOff>
    </xdr:from>
    <xdr:to>
      <xdr:col>8</xdr:col>
      <xdr:colOff>355600</xdr:colOff>
      <xdr:row>3</xdr:row>
      <xdr:rowOff>83099</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11850" y="18901"/>
          <a:ext cx="1314450" cy="521398"/>
        </a:xfrm>
        <a:prstGeom prst="rect">
          <a:avLst/>
        </a:prstGeom>
      </xdr:spPr>
    </xdr:pic>
    <xdr:clientData/>
  </xdr:twoCellAnchor>
  <xdr:twoCellAnchor>
    <xdr:from>
      <xdr:col>7</xdr:col>
      <xdr:colOff>527050</xdr:colOff>
      <xdr:row>3</xdr:row>
      <xdr:rowOff>114300</xdr:rowOff>
    </xdr:from>
    <xdr:to>
      <xdr:col>10</xdr:col>
      <xdr:colOff>69850</xdr:colOff>
      <xdr:row>5</xdr:row>
      <xdr:rowOff>69850</xdr:rowOff>
    </xdr:to>
    <xdr:sp macro="" textlink="">
      <xdr:nvSpPr>
        <xdr:cNvPr id="4" name="TextBox 3">
          <a:hlinkClick xmlns:r="http://schemas.openxmlformats.org/officeDocument/2006/relationships" r:id="rId2"/>
        </xdr:cNvPr>
        <xdr:cNvSpPr txBox="1"/>
      </xdr:nvSpPr>
      <xdr:spPr>
        <a:xfrm>
          <a:off x="5772150" y="571500"/>
          <a:ext cx="219710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1101057</xdr:colOff>
      <xdr:row>0</xdr:row>
      <xdr:rowOff>38101</xdr:rowOff>
    </xdr:from>
    <xdr:to>
      <xdr:col>9</xdr:col>
      <xdr:colOff>575552</xdr:colOff>
      <xdr:row>3</xdr:row>
      <xdr:rowOff>107950</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96957" y="38101"/>
          <a:ext cx="1328695" cy="527049"/>
        </a:xfrm>
        <a:prstGeom prst="rect">
          <a:avLst/>
        </a:prstGeom>
      </xdr:spPr>
    </xdr:pic>
    <xdr:clientData/>
  </xdr:twoCellAnchor>
  <xdr:twoCellAnchor>
    <xdr:from>
      <xdr:col>7</xdr:col>
      <xdr:colOff>899882</xdr:colOff>
      <xdr:row>4</xdr:row>
      <xdr:rowOff>7257</xdr:rowOff>
    </xdr:from>
    <xdr:to>
      <xdr:col>10</xdr:col>
      <xdr:colOff>72569</xdr:colOff>
      <xdr:row>5</xdr:row>
      <xdr:rowOff>32657</xdr:rowOff>
    </xdr:to>
    <xdr:sp macro="" textlink="">
      <xdr:nvSpPr>
        <xdr:cNvPr id="5" name="TextBox 4">
          <a:hlinkClick xmlns:r="http://schemas.openxmlformats.org/officeDocument/2006/relationships" r:id="rId2"/>
        </xdr:cNvPr>
        <xdr:cNvSpPr txBox="1"/>
      </xdr:nvSpPr>
      <xdr:spPr>
        <a:xfrm>
          <a:off x="6204853" y="616857"/>
          <a:ext cx="1661887" cy="17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a:t>
          </a:r>
          <a:r>
            <a:rPr lang="en-US" sz="1000" baseline="0">
              <a:solidFill>
                <a:srgbClr val="3366FF"/>
              </a:solidFill>
              <a:latin typeface="Arial"/>
              <a:cs typeface="Arial"/>
            </a:rPr>
            <a:t> here for print version</a:t>
          </a:r>
          <a:endParaRPr lang="en-US" sz="1000">
            <a:solidFill>
              <a:srgbClr val="3366FF"/>
            </a:solidFill>
            <a:latin typeface="Arial"/>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577850</xdr:colOff>
      <xdr:row>0</xdr:row>
      <xdr:rowOff>44450</xdr:rowOff>
    </xdr:from>
    <xdr:to>
      <xdr:col>9</xdr:col>
      <xdr:colOff>565150</xdr:colOff>
      <xdr:row>3</xdr:row>
      <xdr:rowOff>116205</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6350" y="44450"/>
          <a:ext cx="1333500" cy="528955"/>
        </a:xfrm>
        <a:prstGeom prst="rect">
          <a:avLst/>
        </a:prstGeom>
      </xdr:spPr>
    </xdr:pic>
    <xdr:clientData/>
  </xdr:twoCellAnchor>
  <xdr:twoCellAnchor>
    <xdr:from>
      <xdr:col>7</xdr:col>
      <xdr:colOff>420925</xdr:colOff>
      <xdr:row>4</xdr:row>
      <xdr:rowOff>0</xdr:rowOff>
    </xdr:from>
    <xdr:to>
      <xdr:col>10</xdr:col>
      <xdr:colOff>211375</xdr:colOff>
      <xdr:row>5</xdr:row>
      <xdr:rowOff>50800</xdr:rowOff>
    </xdr:to>
    <xdr:sp macro="" textlink="">
      <xdr:nvSpPr>
        <xdr:cNvPr id="4" name="TextBox 3">
          <a:hlinkClick xmlns:r="http://schemas.openxmlformats.org/officeDocument/2006/relationships" r:id="rId2"/>
        </xdr:cNvPr>
        <xdr:cNvSpPr txBox="1"/>
      </xdr:nvSpPr>
      <xdr:spPr>
        <a:xfrm>
          <a:off x="6204868" y="609600"/>
          <a:ext cx="1706336" cy="20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0" i="0">
              <a:solidFill>
                <a:srgbClr val="3366FF"/>
              </a:solidFill>
              <a:latin typeface="Arial"/>
              <a:cs typeface="Arial"/>
            </a:rPr>
            <a:t>Click here for print version</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425450</xdr:colOff>
      <xdr:row>0</xdr:row>
      <xdr:rowOff>31751</xdr:rowOff>
    </xdr:from>
    <xdr:to>
      <xdr:col>9</xdr:col>
      <xdr:colOff>520700</xdr:colOff>
      <xdr:row>3</xdr:row>
      <xdr:rowOff>136251</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30850" y="31751"/>
          <a:ext cx="1416050" cy="561700"/>
        </a:xfrm>
        <a:prstGeom prst="rect">
          <a:avLst/>
        </a:prstGeom>
      </xdr:spPr>
    </xdr:pic>
    <xdr:clientData/>
  </xdr:twoCellAnchor>
  <xdr:twoCellAnchor>
    <xdr:from>
      <xdr:col>7</xdr:col>
      <xdr:colOff>298450</xdr:colOff>
      <xdr:row>4</xdr:row>
      <xdr:rowOff>0</xdr:rowOff>
    </xdr:from>
    <xdr:to>
      <xdr:col>10</xdr:col>
      <xdr:colOff>241300</xdr:colOff>
      <xdr:row>5</xdr:row>
      <xdr:rowOff>44450</xdr:rowOff>
    </xdr:to>
    <xdr:sp macro="" textlink="">
      <xdr:nvSpPr>
        <xdr:cNvPr id="4" name="TextBox 3">
          <a:hlinkClick xmlns:r="http://schemas.openxmlformats.org/officeDocument/2006/relationships" r:id="rId2"/>
        </xdr:cNvPr>
        <xdr:cNvSpPr txBox="1"/>
      </xdr:nvSpPr>
      <xdr:spPr>
        <a:xfrm>
          <a:off x="5403850" y="609600"/>
          <a:ext cx="1822450" cy="19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101600</xdr:colOff>
      <xdr:row>0</xdr:row>
      <xdr:rowOff>29400</xdr:rowOff>
    </xdr:from>
    <xdr:to>
      <xdr:col>7</xdr:col>
      <xdr:colOff>330200</xdr:colOff>
      <xdr:row>3</xdr:row>
      <xdr:rowOff>107370</xdr:rowOff>
    </xdr:to>
    <xdr:pic>
      <xdr:nvPicPr>
        <xdr:cNvPr id="4" name="Picture 3"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49900" y="29400"/>
          <a:ext cx="1346200" cy="535170"/>
        </a:xfrm>
        <a:prstGeom prst="rect">
          <a:avLst/>
        </a:prstGeom>
      </xdr:spPr>
    </xdr:pic>
    <xdr:clientData/>
  </xdr:twoCellAnchor>
  <xdr:twoCellAnchor>
    <xdr:from>
      <xdr:col>5</xdr:col>
      <xdr:colOff>25400</xdr:colOff>
      <xdr:row>4</xdr:row>
      <xdr:rowOff>0</xdr:rowOff>
    </xdr:from>
    <xdr:to>
      <xdr:col>7</xdr:col>
      <xdr:colOff>596900</xdr:colOff>
      <xdr:row>4</xdr:row>
      <xdr:rowOff>146050</xdr:rowOff>
    </xdr:to>
    <xdr:sp macro="" textlink="">
      <xdr:nvSpPr>
        <xdr:cNvPr id="5" name="TextBox 4">
          <a:hlinkClick xmlns:r="http://schemas.openxmlformats.org/officeDocument/2006/relationships" r:id="rId2"/>
        </xdr:cNvPr>
        <xdr:cNvSpPr txBox="1"/>
      </xdr:nvSpPr>
      <xdr:spPr>
        <a:xfrm>
          <a:off x="5473700" y="609600"/>
          <a:ext cx="1689100" cy="146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b="0" i="0">
              <a:solidFill>
                <a:srgbClr val="3366FF"/>
              </a:solidFill>
              <a:latin typeface="Arial"/>
              <a:cs typeface="Arial"/>
            </a:rPr>
            <a:t>Click</a:t>
          </a:r>
          <a:r>
            <a:rPr lang="en-US" sz="900" b="0" i="0" baseline="0">
              <a:solidFill>
                <a:srgbClr val="3366FF"/>
              </a:solidFill>
              <a:latin typeface="Arial"/>
              <a:cs typeface="Arial"/>
            </a:rPr>
            <a:t> here for print version</a:t>
          </a:r>
          <a:endParaRPr lang="en-US" sz="900" b="0" i="0">
            <a:solidFill>
              <a:srgbClr val="3366FF"/>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508000</xdr:colOff>
      <xdr:row>0</xdr:row>
      <xdr:rowOff>25400</xdr:rowOff>
    </xdr:from>
    <xdr:to>
      <xdr:col>10</xdr:col>
      <xdr:colOff>107786</xdr:colOff>
      <xdr:row>4</xdr:row>
      <xdr:rowOff>12699</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2100" y="25400"/>
          <a:ext cx="1504786" cy="596899"/>
        </a:xfrm>
        <a:prstGeom prst="rect">
          <a:avLst/>
        </a:prstGeom>
      </xdr:spPr>
    </xdr:pic>
    <xdr:clientData/>
  </xdr:twoCellAnchor>
  <xdr:twoCellAnchor>
    <xdr:from>
      <xdr:col>5</xdr:col>
      <xdr:colOff>425450</xdr:colOff>
      <xdr:row>4</xdr:row>
      <xdr:rowOff>57150</xdr:rowOff>
    </xdr:from>
    <xdr:to>
      <xdr:col>10</xdr:col>
      <xdr:colOff>323850</xdr:colOff>
      <xdr:row>5</xdr:row>
      <xdr:rowOff>95250</xdr:rowOff>
    </xdr:to>
    <xdr:sp macro="" textlink="">
      <xdr:nvSpPr>
        <xdr:cNvPr id="5" name="TextBox 4">
          <a:hlinkClick xmlns:r="http://schemas.openxmlformats.org/officeDocument/2006/relationships" r:id="rId2"/>
        </xdr:cNvPr>
        <xdr:cNvSpPr txBox="1"/>
      </xdr:nvSpPr>
      <xdr:spPr>
        <a:xfrm>
          <a:off x="5289550" y="666750"/>
          <a:ext cx="1803400"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0" i="0">
              <a:solidFill>
                <a:srgbClr val="3366FF"/>
              </a:solidFill>
              <a:latin typeface="Arial"/>
              <a:cs typeface="Arial"/>
            </a:rPr>
            <a:t>Click here for print version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55334</xdr:colOff>
      <xdr:row>0</xdr:row>
      <xdr:rowOff>21771</xdr:rowOff>
    </xdr:from>
    <xdr:to>
      <xdr:col>10</xdr:col>
      <xdr:colOff>435427</xdr:colOff>
      <xdr:row>4</xdr:row>
      <xdr:rowOff>59838</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28820" y="21771"/>
          <a:ext cx="1642836" cy="647667"/>
        </a:xfrm>
        <a:prstGeom prst="rect">
          <a:avLst/>
        </a:prstGeom>
      </xdr:spPr>
    </xdr:pic>
    <xdr:clientData/>
  </xdr:twoCellAnchor>
  <xdr:twoCellAnchor>
    <xdr:from>
      <xdr:col>5</xdr:col>
      <xdr:colOff>660401</xdr:colOff>
      <xdr:row>4</xdr:row>
      <xdr:rowOff>108858</xdr:rowOff>
    </xdr:from>
    <xdr:to>
      <xdr:col>11</xdr:col>
      <xdr:colOff>386444</xdr:colOff>
      <xdr:row>6</xdr:row>
      <xdr:rowOff>26308</xdr:rowOff>
    </xdr:to>
    <xdr:sp macro="" textlink="">
      <xdr:nvSpPr>
        <xdr:cNvPr id="4" name="TextBox 3">
          <a:hlinkClick xmlns:r="http://schemas.openxmlformats.org/officeDocument/2006/relationships" r:id="rId2"/>
        </xdr:cNvPr>
        <xdr:cNvSpPr txBox="1"/>
      </xdr:nvSpPr>
      <xdr:spPr>
        <a:xfrm>
          <a:off x="5558972" y="718458"/>
          <a:ext cx="2099129" cy="22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3366FF"/>
              </a:solidFill>
              <a:latin typeface="Arial"/>
              <a:cs typeface="Arial"/>
            </a:rPr>
            <a:t>Click here for print version</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50801</xdr:rowOff>
    </xdr:from>
    <xdr:to>
      <xdr:col>7</xdr:col>
      <xdr:colOff>1365250</xdr:colOff>
      <xdr:row>3</xdr:row>
      <xdr:rowOff>115000</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8300" y="50801"/>
          <a:ext cx="1314450" cy="521399"/>
        </a:xfrm>
        <a:prstGeom prst="rect">
          <a:avLst/>
        </a:prstGeom>
      </xdr:spPr>
    </xdr:pic>
    <xdr:clientData/>
  </xdr:twoCellAnchor>
  <xdr:twoCellAnchor>
    <xdr:from>
      <xdr:col>6</xdr:col>
      <xdr:colOff>0</xdr:colOff>
      <xdr:row>4</xdr:row>
      <xdr:rowOff>0</xdr:rowOff>
    </xdr:from>
    <xdr:to>
      <xdr:col>7</xdr:col>
      <xdr:colOff>1784350</xdr:colOff>
      <xdr:row>5</xdr:row>
      <xdr:rowOff>31750</xdr:rowOff>
    </xdr:to>
    <xdr:sp macro="" textlink="">
      <xdr:nvSpPr>
        <xdr:cNvPr id="5" name="TextBox 4">
          <a:hlinkClick xmlns:r="http://schemas.openxmlformats.org/officeDocument/2006/relationships" r:id="rId2"/>
        </xdr:cNvPr>
        <xdr:cNvSpPr txBox="1"/>
      </xdr:nvSpPr>
      <xdr:spPr>
        <a:xfrm>
          <a:off x="5397500" y="609600"/>
          <a:ext cx="1784350" cy="184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a:t>
          </a:r>
          <a:r>
            <a:rPr lang="en-US" sz="1000" baseline="0">
              <a:solidFill>
                <a:srgbClr val="3366FF"/>
              </a:solidFill>
              <a:latin typeface="Arial"/>
              <a:cs typeface="Arial"/>
            </a:rPr>
            <a:t> version</a:t>
          </a:r>
          <a:endParaRPr lang="en-US" sz="1000">
            <a:solidFill>
              <a:srgbClr val="3366FF"/>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12700</xdr:colOff>
      <xdr:row>0</xdr:row>
      <xdr:rowOff>41021</xdr:rowOff>
    </xdr:from>
    <xdr:to>
      <xdr:col>10</xdr:col>
      <xdr:colOff>146050</xdr:colOff>
      <xdr:row>4</xdr:row>
      <xdr:rowOff>58610</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7500" y="41021"/>
          <a:ext cx="1581150" cy="627189"/>
        </a:xfrm>
        <a:prstGeom prst="rect">
          <a:avLst/>
        </a:prstGeom>
      </xdr:spPr>
    </xdr:pic>
    <xdr:clientData/>
  </xdr:twoCellAnchor>
  <xdr:twoCellAnchor>
    <xdr:from>
      <xdr:col>5</xdr:col>
      <xdr:colOff>254000</xdr:colOff>
      <xdr:row>4</xdr:row>
      <xdr:rowOff>120650</xdr:rowOff>
    </xdr:from>
    <xdr:to>
      <xdr:col>10</xdr:col>
      <xdr:colOff>304800</xdr:colOff>
      <xdr:row>5</xdr:row>
      <xdr:rowOff>146050</xdr:rowOff>
    </xdr:to>
    <xdr:sp macro="" textlink="">
      <xdr:nvSpPr>
        <xdr:cNvPr id="4" name="TextBox 3">
          <a:hlinkClick xmlns:r="http://schemas.openxmlformats.org/officeDocument/2006/relationships" r:id="rId2"/>
        </xdr:cNvPr>
        <xdr:cNvSpPr txBox="1"/>
      </xdr:nvSpPr>
      <xdr:spPr>
        <a:xfrm>
          <a:off x="5334000" y="730250"/>
          <a:ext cx="1803400" cy="17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3366FF"/>
              </a:solidFill>
            </a:rPr>
            <a:t>Click here for print version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203200</xdr:colOff>
      <xdr:row>0</xdr:row>
      <xdr:rowOff>2</xdr:rowOff>
    </xdr:from>
    <xdr:to>
      <xdr:col>9</xdr:col>
      <xdr:colOff>88900</xdr:colOff>
      <xdr:row>3</xdr:row>
      <xdr:rowOff>122134</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03800" y="2"/>
          <a:ext cx="1460500" cy="579332"/>
        </a:xfrm>
        <a:prstGeom prst="rect">
          <a:avLst/>
        </a:prstGeom>
      </xdr:spPr>
    </xdr:pic>
    <xdr:clientData/>
  </xdr:twoCellAnchor>
  <xdr:twoCellAnchor>
    <xdr:from>
      <xdr:col>5</xdr:col>
      <xdr:colOff>139700</xdr:colOff>
      <xdr:row>4</xdr:row>
      <xdr:rowOff>31750</xdr:rowOff>
    </xdr:from>
    <xdr:to>
      <xdr:col>10</xdr:col>
      <xdr:colOff>165100</xdr:colOff>
      <xdr:row>5</xdr:row>
      <xdr:rowOff>31750</xdr:rowOff>
    </xdr:to>
    <xdr:sp macro="" textlink="">
      <xdr:nvSpPr>
        <xdr:cNvPr id="4" name="TextBox 3">
          <a:hlinkClick xmlns:r="http://schemas.openxmlformats.org/officeDocument/2006/relationships" r:id="rId2"/>
        </xdr:cNvPr>
        <xdr:cNvSpPr txBox="1"/>
      </xdr:nvSpPr>
      <xdr:spPr>
        <a:xfrm>
          <a:off x="4940300" y="641350"/>
          <a:ext cx="1714500" cy="15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0" i="0">
              <a:solidFill>
                <a:srgbClr val="3366FF"/>
              </a:solidFill>
              <a:latin typeface="Arial"/>
              <a:cs typeface="Arial"/>
            </a:rPr>
            <a:t>Click here for print</a:t>
          </a:r>
          <a:r>
            <a:rPr lang="en-US" sz="1000" b="0" i="0" baseline="0">
              <a:solidFill>
                <a:srgbClr val="3366FF"/>
              </a:solidFill>
              <a:latin typeface="Arial"/>
              <a:cs typeface="Arial"/>
            </a:rPr>
            <a:t> version</a:t>
          </a:r>
          <a:endParaRPr lang="en-US" sz="1000" b="0" i="0">
            <a:solidFill>
              <a:srgbClr val="3366FF"/>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444500</xdr:colOff>
      <xdr:row>0</xdr:row>
      <xdr:rowOff>0</xdr:rowOff>
    </xdr:from>
    <xdr:to>
      <xdr:col>10</xdr:col>
      <xdr:colOff>425450</xdr:colOff>
      <xdr:row>3</xdr:row>
      <xdr:rowOff>129688</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81600" y="0"/>
          <a:ext cx="1479550" cy="586888"/>
        </a:xfrm>
        <a:prstGeom prst="rect">
          <a:avLst/>
        </a:prstGeom>
      </xdr:spPr>
    </xdr:pic>
    <xdr:clientData/>
  </xdr:twoCellAnchor>
  <xdr:twoCellAnchor>
    <xdr:from>
      <xdr:col>6</xdr:col>
      <xdr:colOff>374650</xdr:colOff>
      <xdr:row>4</xdr:row>
      <xdr:rowOff>0</xdr:rowOff>
    </xdr:from>
    <xdr:to>
      <xdr:col>11</xdr:col>
      <xdr:colOff>209550</xdr:colOff>
      <xdr:row>5</xdr:row>
      <xdr:rowOff>95250</xdr:rowOff>
    </xdr:to>
    <xdr:sp macro="" textlink="">
      <xdr:nvSpPr>
        <xdr:cNvPr id="4" name="TextBox 3">
          <a:hlinkClick xmlns:r="http://schemas.openxmlformats.org/officeDocument/2006/relationships" r:id="rId2"/>
        </xdr:cNvPr>
        <xdr:cNvSpPr txBox="1"/>
      </xdr:nvSpPr>
      <xdr:spPr>
        <a:xfrm>
          <a:off x="5111750" y="609600"/>
          <a:ext cx="18415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3366FF"/>
              </a:solidFill>
              <a:latin typeface="Arial"/>
              <a:cs typeface="Arial"/>
            </a:rPr>
            <a:t>Click here for print version</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114300</xdr:colOff>
      <xdr:row>0</xdr:row>
      <xdr:rowOff>19050</xdr:rowOff>
    </xdr:from>
    <xdr:to>
      <xdr:col>11</xdr:col>
      <xdr:colOff>901700</xdr:colOff>
      <xdr:row>4</xdr:row>
      <xdr:rowOff>29083</xdr:rowOff>
    </xdr:to>
    <xdr:pic>
      <xdr:nvPicPr>
        <xdr:cNvPr id="2" name="Picture 1" descr="CCD 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03900" y="19050"/>
          <a:ext cx="1562100" cy="619633"/>
        </a:xfrm>
        <a:prstGeom prst="rect">
          <a:avLst/>
        </a:prstGeom>
      </xdr:spPr>
    </xdr:pic>
    <xdr:clientData/>
  </xdr:twoCellAnchor>
  <xdr:oneCellAnchor>
    <xdr:from>
      <xdr:col>8</xdr:col>
      <xdr:colOff>44450</xdr:colOff>
      <xdr:row>4</xdr:row>
      <xdr:rowOff>69850</xdr:rowOff>
    </xdr:from>
    <xdr:ext cx="2146300" cy="152400"/>
    <xdr:sp macro="" textlink="">
      <xdr:nvSpPr>
        <xdr:cNvPr id="4" name="TextBox 3">
          <a:hlinkClick xmlns:r="http://schemas.openxmlformats.org/officeDocument/2006/relationships" r:id="rId2"/>
        </xdr:cNvPr>
        <xdr:cNvSpPr txBox="1"/>
      </xdr:nvSpPr>
      <xdr:spPr>
        <a:xfrm>
          <a:off x="5734050" y="679450"/>
          <a:ext cx="2146300" cy="15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100">
              <a:solidFill>
                <a:srgbClr val="3366FF"/>
              </a:solidFill>
            </a:rPr>
            <a:t>Click here for print version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uky.edu/ccd"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tabSelected="1" topLeftCell="A28" workbookViewId="0">
      <selection activeCell="M37" sqref="M37"/>
    </sheetView>
  </sheetViews>
  <sheetFormatPr baseColWidth="10" defaultColWidth="8.83203125" defaultRowHeight="12" x14ac:dyDescent="0"/>
  <cols>
    <col min="1" max="1" width="9.6640625" customWidth="1"/>
    <col min="7" max="7" width="8.5" customWidth="1"/>
    <col min="8" max="8" width="8.83203125" hidden="1" customWidth="1"/>
  </cols>
  <sheetData>
    <row r="1" spans="1:10" ht="13" thickBot="1">
      <c r="A1" s="62"/>
      <c r="B1" s="62"/>
      <c r="C1" s="62"/>
      <c r="D1" s="62"/>
      <c r="E1" s="62"/>
      <c r="F1" s="62"/>
      <c r="G1" s="62"/>
      <c r="H1" s="62"/>
      <c r="I1" s="62"/>
      <c r="J1" s="62"/>
    </row>
    <row r="2" spans="1:10">
      <c r="A2" s="46"/>
      <c r="B2" s="46"/>
      <c r="C2" s="46"/>
      <c r="D2" s="46"/>
      <c r="E2" s="46"/>
      <c r="F2" s="46"/>
      <c r="G2" s="46"/>
      <c r="H2" s="46"/>
      <c r="I2" s="46"/>
      <c r="J2" s="46"/>
    </row>
    <row r="3" spans="1:10">
      <c r="A3" s="60" t="s">
        <v>200</v>
      </c>
      <c r="B3" s="46"/>
      <c r="C3" s="46"/>
      <c r="D3" s="46"/>
      <c r="E3" s="46"/>
      <c r="F3" s="46"/>
      <c r="G3" s="46"/>
      <c r="H3" s="46"/>
      <c r="I3" s="46"/>
      <c r="J3" s="46"/>
    </row>
    <row r="4" spans="1:10">
      <c r="A4" s="60" t="s">
        <v>218</v>
      </c>
      <c r="B4" s="46"/>
      <c r="C4" s="46"/>
      <c r="D4" s="46"/>
      <c r="E4" s="46"/>
      <c r="F4" s="46"/>
      <c r="G4" s="46"/>
      <c r="H4" s="46"/>
      <c r="I4" s="46"/>
      <c r="J4" s="46"/>
    </row>
    <row r="5" spans="1:10" ht="13" thickBot="1">
      <c r="A5" s="44"/>
      <c r="B5" s="44"/>
      <c r="C5" s="44"/>
      <c r="D5" s="44"/>
      <c r="E5" s="44"/>
      <c r="F5" s="44"/>
      <c r="G5" s="44"/>
      <c r="H5" s="44"/>
      <c r="I5" s="44"/>
      <c r="J5" s="44"/>
    </row>
    <row r="6" spans="1:10" ht="7" customHeight="1">
      <c r="A6" s="36"/>
      <c r="B6" s="36"/>
      <c r="C6" s="36"/>
      <c r="D6" s="36"/>
      <c r="E6" s="36"/>
      <c r="F6" s="36"/>
      <c r="G6" s="36"/>
      <c r="H6" s="36"/>
      <c r="I6" s="61"/>
      <c r="J6" s="61"/>
    </row>
    <row r="7" spans="1:10" ht="18">
      <c r="A7" s="132" t="s">
        <v>281</v>
      </c>
      <c r="B7" s="132"/>
      <c r="C7" s="132"/>
      <c r="D7" s="132"/>
      <c r="E7" s="132"/>
      <c r="F7" s="132"/>
      <c r="G7" s="132"/>
      <c r="H7" s="132"/>
      <c r="I7" s="132"/>
      <c r="J7" s="132"/>
    </row>
    <row r="8" spans="1:10" ht="14" customHeight="1">
      <c r="A8" s="133" t="s">
        <v>201</v>
      </c>
      <c r="B8" s="133"/>
      <c r="C8" s="133"/>
      <c r="D8" s="133"/>
      <c r="E8" s="133"/>
      <c r="F8" s="133"/>
      <c r="G8" s="133"/>
      <c r="H8" s="133"/>
      <c r="I8" s="133"/>
      <c r="J8" s="133"/>
    </row>
    <row r="12" spans="1:10" ht="24.75" customHeight="1">
      <c r="A12" s="131"/>
      <c r="B12" s="131"/>
      <c r="C12" s="131"/>
      <c r="D12" s="131"/>
      <c r="E12" s="131"/>
      <c r="F12" s="131"/>
      <c r="G12" s="131"/>
      <c r="H12" s="131"/>
    </row>
    <row r="14" spans="1:10" ht="24" customHeight="1">
      <c r="A14" s="131"/>
      <c r="B14" s="131"/>
      <c r="C14" s="131"/>
      <c r="D14" s="131"/>
      <c r="E14" s="131"/>
      <c r="F14" s="131"/>
      <c r="G14" s="131"/>
      <c r="H14" s="131"/>
    </row>
    <row r="16" spans="1:10" ht="14.25" customHeight="1">
      <c r="A16" s="131"/>
      <c r="B16" s="131"/>
      <c r="C16" s="131"/>
      <c r="D16" s="131"/>
      <c r="E16" s="131"/>
      <c r="F16" s="131"/>
      <c r="G16" s="131"/>
      <c r="H16" s="131"/>
      <c r="I16" s="45"/>
      <c r="J16" s="45"/>
    </row>
    <row r="17" spans="1:10" ht="15" customHeight="1">
      <c r="A17" s="63"/>
      <c r="B17" s="63"/>
      <c r="C17" s="63"/>
      <c r="D17" s="63"/>
      <c r="E17" s="63"/>
      <c r="F17" s="63"/>
      <c r="G17" s="63"/>
      <c r="H17" s="63"/>
      <c r="I17" s="64"/>
      <c r="J17" s="64"/>
    </row>
    <row r="18" spans="1:10" ht="9.75" customHeight="1" thickBot="1">
      <c r="A18" s="62"/>
      <c r="B18" s="62"/>
      <c r="C18" s="62"/>
      <c r="D18" s="62"/>
      <c r="E18" s="62"/>
      <c r="F18" s="62"/>
      <c r="G18" s="62"/>
      <c r="H18" s="62"/>
      <c r="I18" s="62"/>
      <c r="J18" s="62"/>
    </row>
    <row r="19" spans="1:10" ht="18" customHeight="1">
      <c r="A19" s="1" t="s">
        <v>238</v>
      </c>
    </row>
    <row r="21" spans="1:10">
      <c r="A21" t="s">
        <v>51</v>
      </c>
      <c r="D21" s="47">
        <v>12.5</v>
      </c>
      <c r="E21" t="s">
        <v>55</v>
      </c>
    </row>
    <row r="22" spans="1:10">
      <c r="A22" t="s">
        <v>54</v>
      </c>
      <c r="D22" s="47">
        <v>15</v>
      </c>
      <c r="E22" t="s">
        <v>55</v>
      </c>
    </row>
    <row r="23" spans="1:10">
      <c r="A23" t="s">
        <v>52</v>
      </c>
      <c r="D23" s="48">
        <v>0.1</v>
      </c>
      <c r="E23" s="3" t="s">
        <v>203</v>
      </c>
    </row>
    <row r="24" spans="1:10" ht="13" thickBot="1">
      <c r="A24" s="44" t="s">
        <v>53</v>
      </c>
      <c r="B24" s="44"/>
      <c r="C24" s="44"/>
      <c r="D24" s="95">
        <v>0.06</v>
      </c>
      <c r="E24" s="96" t="s">
        <v>202</v>
      </c>
      <c r="F24" s="44"/>
      <c r="G24" s="44"/>
      <c r="H24" s="44"/>
      <c r="I24" s="44"/>
      <c r="J24" s="44"/>
    </row>
    <row r="25" spans="1:10" ht="20.25" customHeight="1">
      <c r="A25" s="1" t="s">
        <v>237</v>
      </c>
      <c r="D25" s="48"/>
      <c r="E25" s="3"/>
    </row>
    <row r="26" spans="1:10" ht="20" customHeight="1">
      <c r="A26" s="122" t="s">
        <v>220</v>
      </c>
      <c r="B26" s="122"/>
      <c r="C26" s="122"/>
      <c r="D26" s="123" t="s">
        <v>221</v>
      </c>
      <c r="E26" s="123"/>
      <c r="F26" s="123"/>
      <c r="G26" s="130" t="s">
        <v>222</v>
      </c>
      <c r="H26" s="130"/>
      <c r="I26" s="130"/>
      <c r="J26" s="130"/>
    </row>
    <row r="27" spans="1:10" ht="20" customHeight="1">
      <c r="A27" s="123" t="s">
        <v>223</v>
      </c>
      <c r="B27" s="123"/>
      <c r="C27" s="123"/>
      <c r="D27" s="122" t="s">
        <v>235</v>
      </c>
      <c r="E27" s="122"/>
      <c r="F27" s="122"/>
      <c r="G27" s="123" t="s">
        <v>224</v>
      </c>
      <c r="H27" s="123"/>
      <c r="I27" s="123"/>
      <c r="J27" s="123"/>
    </row>
    <row r="28" spans="1:10" ht="20" customHeight="1">
      <c r="A28" s="122" t="s">
        <v>225</v>
      </c>
      <c r="B28" s="122"/>
      <c r="C28" s="122"/>
      <c r="D28" s="123" t="s">
        <v>226</v>
      </c>
      <c r="E28" s="123"/>
      <c r="F28" s="123"/>
      <c r="G28" s="122" t="s">
        <v>227</v>
      </c>
      <c r="H28" s="122"/>
      <c r="I28" s="122"/>
      <c r="J28" s="122"/>
    </row>
    <row r="29" spans="1:10" ht="20" customHeight="1">
      <c r="A29" s="123" t="s">
        <v>142</v>
      </c>
      <c r="B29" s="123"/>
      <c r="C29" s="123"/>
      <c r="D29" s="122" t="s">
        <v>228</v>
      </c>
      <c r="E29" s="122"/>
      <c r="F29" s="122"/>
      <c r="G29" s="123" t="s">
        <v>229</v>
      </c>
      <c r="H29" s="123"/>
      <c r="I29" s="123"/>
      <c r="J29" s="123"/>
    </row>
    <row r="30" spans="1:10" ht="19" customHeight="1">
      <c r="A30" s="122" t="s">
        <v>230</v>
      </c>
      <c r="B30" s="122"/>
      <c r="C30" s="122"/>
      <c r="D30" s="123" t="s">
        <v>231</v>
      </c>
      <c r="E30" s="123"/>
      <c r="F30" s="123"/>
      <c r="G30" s="122" t="s">
        <v>232</v>
      </c>
      <c r="H30" s="122"/>
      <c r="I30" s="122"/>
      <c r="J30" s="122"/>
    </row>
    <row r="31" spans="1:10" ht="22" customHeight="1">
      <c r="A31" s="123" t="s">
        <v>233</v>
      </c>
      <c r="B31" s="123"/>
      <c r="C31" s="123"/>
      <c r="D31" s="126" t="s">
        <v>236</v>
      </c>
      <c r="E31" s="126"/>
      <c r="F31" s="126"/>
      <c r="G31" s="127" t="s">
        <v>234</v>
      </c>
      <c r="H31" s="127"/>
      <c r="I31" s="127"/>
      <c r="J31" s="127"/>
    </row>
    <row r="32" spans="1:10">
      <c r="A32" s="3"/>
    </row>
    <row r="33" spans="1:10">
      <c r="A33" s="3" t="s">
        <v>219</v>
      </c>
    </row>
    <row r="34" spans="1:10">
      <c r="A34" s="3"/>
    </row>
    <row r="35" spans="1:10">
      <c r="A35" s="3"/>
    </row>
    <row r="41" spans="1:10" ht="20" customHeight="1">
      <c r="E41" s="128" t="s">
        <v>240</v>
      </c>
      <c r="F41" s="128"/>
      <c r="G41" s="128"/>
    </row>
    <row r="42" spans="1:10" ht="19.5" customHeight="1" thickBot="1">
      <c r="A42" s="46"/>
      <c r="B42" s="46"/>
      <c r="C42" s="46"/>
      <c r="D42" s="46"/>
      <c r="E42" s="129" t="s">
        <v>204</v>
      </c>
      <c r="F42" s="129"/>
      <c r="G42" s="129"/>
      <c r="H42" s="44"/>
    </row>
    <row r="43" spans="1:10" ht="14" customHeight="1" thickBot="1">
      <c r="A43" s="44"/>
      <c r="B43" s="44"/>
      <c r="C43" s="44"/>
      <c r="D43" s="44"/>
      <c r="E43" s="44"/>
      <c r="F43" s="44"/>
      <c r="G43" s="44"/>
      <c r="H43" s="44"/>
      <c r="I43" s="65"/>
      <c r="J43" s="66"/>
    </row>
    <row r="44" spans="1:10" ht="12.75" customHeight="1">
      <c r="A44" s="49" t="s">
        <v>205</v>
      </c>
    </row>
    <row r="45" spans="1:10">
      <c r="A45" s="124" t="s">
        <v>241</v>
      </c>
      <c r="B45" s="125"/>
      <c r="C45" s="125"/>
      <c r="D45" s="125"/>
      <c r="E45" s="125"/>
      <c r="F45" s="125"/>
      <c r="G45" s="125"/>
      <c r="H45" s="125"/>
      <c r="I45" s="125"/>
      <c r="J45" s="125"/>
    </row>
    <row r="46" spans="1:10" ht="19.5" customHeight="1">
      <c r="A46" s="125"/>
      <c r="B46" s="125"/>
      <c r="C46" s="125"/>
      <c r="D46" s="125"/>
      <c r="E46" s="125"/>
      <c r="F46" s="125"/>
      <c r="G46" s="125"/>
      <c r="H46" s="125"/>
      <c r="I46" s="125"/>
      <c r="J46" s="125"/>
    </row>
  </sheetData>
  <mergeCells count="26">
    <mergeCell ref="A12:H12"/>
    <mergeCell ref="A14:H14"/>
    <mergeCell ref="A16:H16"/>
    <mergeCell ref="A7:J7"/>
    <mergeCell ref="A8:J8"/>
    <mergeCell ref="A27:C27"/>
    <mergeCell ref="A26:C26"/>
    <mergeCell ref="D26:F26"/>
    <mergeCell ref="G26:J26"/>
    <mergeCell ref="D27:F27"/>
    <mergeCell ref="G27:J27"/>
    <mergeCell ref="A28:C28"/>
    <mergeCell ref="D28:F28"/>
    <mergeCell ref="G28:J28"/>
    <mergeCell ref="A29:C29"/>
    <mergeCell ref="A45:J46"/>
    <mergeCell ref="D30:F30"/>
    <mergeCell ref="A30:C30"/>
    <mergeCell ref="G29:J29"/>
    <mergeCell ref="D29:F29"/>
    <mergeCell ref="G30:J30"/>
    <mergeCell ref="A31:C31"/>
    <mergeCell ref="D31:F31"/>
    <mergeCell ref="G31:J31"/>
    <mergeCell ref="E41:G41"/>
    <mergeCell ref="E42:G42"/>
  </mergeCells>
  <phoneticPr fontId="11" type="noConversion"/>
  <hyperlinks>
    <hyperlink ref="A26:B26" location="Bean!A1" display="Beans"/>
    <hyperlink ref="D26:E26" location="Broccoli!A1" display="Broccoli"/>
    <hyperlink ref="G26:H26" location="Cabbage!A1" display="Cabbage"/>
    <hyperlink ref="A27:C27" location="Cantaloupe!A1" display="Cantaloupe"/>
    <hyperlink ref="D27:E27" location="Okra!A1" display="Okra"/>
    <hyperlink ref="G27:H27" location="Eggplant!A1" display="Eggplant"/>
    <hyperlink ref="A28:B28" location="Okra!A1" display="Okra"/>
    <hyperlink ref="D28:E28" location="'Bell Pepper'!A1" display="Peppers, Bell"/>
    <hyperlink ref="G28:I28" location="'Jalepeno Pepper'!A1" display="Peppers, Jalapeño"/>
    <hyperlink ref="A29:B29" location="Potatoes!A1" display="Potatoes"/>
    <hyperlink ref="D29:E29" location="Pumpkin!A1" display="Pumpkin"/>
    <hyperlink ref="G29:H29" location="'Squash, Winter'!A1" display="Squash, Winter"/>
    <hyperlink ref="A30:B30" location="'Summer Squash'!A1" display="Squash, Summer"/>
    <hyperlink ref="E30:F30" location="'Sweet Corn'!A1" display="Sweet Corn"/>
    <hyperlink ref="G30:H30" location="'Sweet Potato'!A1" display="Sweet Potato"/>
    <hyperlink ref="A31:B31" location="Tomato!A1" display="Tomato"/>
    <hyperlink ref="D31:E31" location="'Seedless Watermelon'!A1" display="Watermelon, seedless"/>
    <hyperlink ref="G31:H31" location="'Seeded Watermelon'!A1" display="Watermelon, seeded"/>
    <hyperlink ref="E42" r:id="rId1"/>
    <hyperlink ref="D27" location="Cucumber!A1" display="Cucumber"/>
    <hyperlink ref="E27" location="Cucumber!A1" display="Cucumber!A1"/>
    <hyperlink ref="F27" location="Cucumber!A1" display="Cucumber!A1"/>
    <hyperlink ref="G28" location="'Jalapeno Pepper'!A1" display="Peppers, Jalapeño"/>
    <hyperlink ref="H28" location="'Jalapeno Pepper'!A1" display="'Jalapeno Pepper'!A1"/>
    <hyperlink ref="I28" location="'Jalapeno Pepper'!A1" display="'Jalapeno Pepper'!A1"/>
    <hyperlink ref="J28" location="'Jalapeno Pepper'!A1" display="'Jalapeno Pepper'!A1"/>
  </hyperlinks>
  <printOptions horizontalCentered="1" verticalCentered="1"/>
  <pageMargins left="0.45" right="0.45" top="0.75" bottom="0.75" header="0.3" footer="0.3"/>
  <pageSetup orientation="portrait" horizontalDpi="4294967292" verticalDpi="4294967292"/>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73"/>
  <sheetViews>
    <sheetView workbookViewId="0">
      <selection activeCell="J31" sqref="J31"/>
    </sheetView>
  </sheetViews>
  <sheetFormatPr baseColWidth="10" defaultColWidth="8.83203125" defaultRowHeight="12" x14ac:dyDescent="0"/>
  <cols>
    <col min="1" max="1" width="30.83203125" customWidth="1"/>
    <col min="2" max="2" width="6.6640625" customWidth="1"/>
    <col min="3" max="3" width="5.1640625" customWidth="1"/>
    <col min="4" max="4" width="8.1640625" customWidth="1"/>
    <col min="5" max="5" width="11" customWidth="1"/>
    <col min="6" max="6" width="3.1640625" customWidth="1"/>
    <col min="7" max="7" width="0.1640625" hidden="1" customWidth="1"/>
    <col min="8" max="8" width="8.1640625" style="13" customWidth="1"/>
    <col min="9" max="9" width="2.83203125" style="13" customWidth="1"/>
    <col min="10" max="10" width="8.1640625" style="13" customWidth="1"/>
    <col min="11" max="11" width="8.5" style="13" customWidth="1"/>
    <col min="12" max="12" width="2.83203125" style="13" customWidth="1"/>
    <col min="13" max="13" width="8.83203125" style="13"/>
  </cols>
  <sheetData>
    <row r="1" spans="1:13">
      <c r="A1" s="1" t="s">
        <v>137</v>
      </c>
      <c r="J1" s="12"/>
      <c r="K1" s="14"/>
      <c r="M1" s="15"/>
    </row>
    <row r="2" spans="1:13">
      <c r="A2" s="1" t="s">
        <v>239</v>
      </c>
      <c r="H2" s="12"/>
      <c r="L2" s="14"/>
      <c r="M2" s="12"/>
    </row>
    <row r="3" spans="1:13">
      <c r="A3" s="1" t="s">
        <v>287</v>
      </c>
      <c r="H3" s="12"/>
    </row>
    <row r="4" spans="1:13">
      <c r="A4" s="1" t="s">
        <v>296</v>
      </c>
      <c r="H4" s="12"/>
    </row>
    <row r="5" spans="1:13">
      <c r="A5" s="1" t="s">
        <v>297</v>
      </c>
      <c r="H5" s="12"/>
    </row>
    <row r="6" spans="1:13">
      <c r="A6" s="101"/>
      <c r="B6" s="100" t="s">
        <v>2</v>
      </c>
      <c r="C6" s="100" t="s">
        <v>3</v>
      </c>
      <c r="D6" s="100" t="s">
        <v>4</v>
      </c>
      <c r="E6" s="100" t="s">
        <v>5</v>
      </c>
    </row>
    <row r="7" spans="1:13">
      <c r="A7" s="1" t="s">
        <v>6</v>
      </c>
      <c r="B7" s="101"/>
      <c r="C7" s="101"/>
      <c r="D7" s="101"/>
      <c r="E7" s="101"/>
    </row>
    <row r="8" spans="1:13">
      <c r="A8" t="s">
        <v>138</v>
      </c>
      <c r="B8" s="114">
        <v>2000</v>
      </c>
      <c r="C8" s="101" t="s">
        <v>102</v>
      </c>
      <c r="D8" s="102">
        <v>7.5</v>
      </c>
      <c r="E8" s="102">
        <f>B8*D8</f>
        <v>15000</v>
      </c>
      <c r="F8" s="4" t="s">
        <v>79</v>
      </c>
      <c r="H8" s="12"/>
      <c r="I8" s="14"/>
    </row>
    <row r="9" spans="1:13">
      <c r="H9" s="12" t="s">
        <v>140</v>
      </c>
      <c r="L9" s="12">
        <v>10</v>
      </c>
    </row>
    <row r="10" spans="1:13" ht="13" customHeight="1">
      <c r="A10" s="51"/>
      <c r="B10" s="51"/>
      <c r="C10" s="51"/>
      <c r="D10" s="51"/>
      <c r="E10" s="51"/>
      <c r="H10" s="12"/>
      <c r="I10" s="12"/>
      <c r="J10" s="12"/>
      <c r="K10" s="12"/>
      <c r="L10" s="12"/>
    </row>
    <row r="11" spans="1:13" ht="20" customHeight="1">
      <c r="A11" s="1" t="s">
        <v>10</v>
      </c>
    </row>
    <row r="12" spans="1:13">
      <c r="A12" t="s">
        <v>11</v>
      </c>
    </row>
    <row r="13" spans="1:13">
      <c r="A13" t="s">
        <v>118</v>
      </c>
      <c r="B13">
        <v>14.5</v>
      </c>
      <c r="C13" s="33">
        <v>1000</v>
      </c>
      <c r="D13" s="2">
        <v>200</v>
      </c>
      <c r="E13" s="2">
        <f t="shared" ref="E13:E23" si="0">B13*D13</f>
        <v>2900</v>
      </c>
    </row>
    <row r="14" spans="1:13">
      <c r="A14" t="s">
        <v>119</v>
      </c>
      <c r="B14">
        <v>24</v>
      </c>
      <c r="C14" t="s">
        <v>69</v>
      </c>
      <c r="D14" s="2">
        <f>Hired_Labor</f>
        <v>12.5</v>
      </c>
      <c r="E14" s="2">
        <f t="shared" si="0"/>
        <v>300</v>
      </c>
    </row>
    <row r="15" spans="1:13">
      <c r="A15" s="3" t="s">
        <v>120</v>
      </c>
      <c r="B15">
        <v>100</v>
      </c>
      <c r="C15" s="3" t="s">
        <v>15</v>
      </c>
      <c r="D15" s="2">
        <v>0.4</v>
      </c>
      <c r="E15" s="2">
        <f t="shared" si="0"/>
        <v>40</v>
      </c>
    </row>
    <row r="16" spans="1:13">
      <c r="A16" s="3" t="s">
        <v>121</v>
      </c>
      <c r="B16" s="34">
        <v>9.06</v>
      </c>
      <c r="C16" s="3" t="s">
        <v>15</v>
      </c>
      <c r="D16" s="2">
        <v>3</v>
      </c>
      <c r="E16" s="2">
        <f t="shared" si="0"/>
        <v>27.18</v>
      </c>
    </row>
    <row r="17" spans="1:8">
      <c r="A17" s="3" t="s">
        <v>122</v>
      </c>
      <c r="B17">
        <v>580</v>
      </c>
      <c r="C17" s="3" t="s">
        <v>15</v>
      </c>
      <c r="D17" s="2">
        <v>0.45</v>
      </c>
      <c r="E17" s="2">
        <f t="shared" si="0"/>
        <v>261</v>
      </c>
      <c r="F17" t="s">
        <v>123</v>
      </c>
    </row>
    <row r="18" spans="1:8">
      <c r="A18" s="3" t="s">
        <v>124</v>
      </c>
      <c r="B18">
        <v>1</v>
      </c>
      <c r="C18" t="s">
        <v>19</v>
      </c>
      <c r="D18" s="2">
        <v>555</v>
      </c>
      <c r="E18" s="2">
        <f t="shared" si="0"/>
        <v>555</v>
      </c>
      <c r="F18" s="4" t="s">
        <v>20</v>
      </c>
    </row>
    <row r="19" spans="1:8">
      <c r="A19" s="3" t="s">
        <v>18</v>
      </c>
      <c r="B19">
        <v>1</v>
      </c>
      <c r="C19" t="s">
        <v>19</v>
      </c>
      <c r="D19" s="2">
        <v>46.5</v>
      </c>
      <c r="E19" s="2">
        <f t="shared" si="0"/>
        <v>46.5</v>
      </c>
      <c r="F19" s="4" t="s">
        <v>24</v>
      </c>
    </row>
    <row r="20" spans="1:8">
      <c r="A20" t="s">
        <v>21</v>
      </c>
      <c r="B20">
        <v>1</v>
      </c>
      <c r="C20" s="3" t="s">
        <v>19</v>
      </c>
      <c r="D20" s="2">
        <v>107.08</v>
      </c>
      <c r="E20" s="2">
        <f t="shared" si="0"/>
        <v>107.08</v>
      </c>
      <c r="F20" s="4" t="s">
        <v>24</v>
      </c>
    </row>
    <row r="21" spans="1:8">
      <c r="A21" t="s">
        <v>22</v>
      </c>
      <c r="B21">
        <v>1</v>
      </c>
      <c r="C21" s="3" t="s">
        <v>19</v>
      </c>
      <c r="D21" s="2">
        <v>499.2</v>
      </c>
      <c r="E21" s="2">
        <f t="shared" si="0"/>
        <v>499.2</v>
      </c>
      <c r="F21" s="4" t="s">
        <v>24</v>
      </c>
    </row>
    <row r="22" spans="1:8">
      <c r="A22" t="s">
        <v>66</v>
      </c>
      <c r="B22">
        <v>90</v>
      </c>
      <c r="C22" t="s">
        <v>48</v>
      </c>
      <c r="D22" s="2">
        <v>0.4</v>
      </c>
      <c r="E22" s="2">
        <f t="shared" si="0"/>
        <v>36</v>
      </c>
      <c r="F22" s="4" t="s">
        <v>32</v>
      </c>
    </row>
    <row r="23" spans="1:8">
      <c r="A23" t="s">
        <v>23</v>
      </c>
      <c r="B23" s="52">
        <v>1</v>
      </c>
      <c r="C23" s="52" t="s">
        <v>19</v>
      </c>
      <c r="D23" s="53">
        <v>46.23</v>
      </c>
      <c r="E23" s="53">
        <f t="shared" si="0"/>
        <v>46.23</v>
      </c>
      <c r="F23" s="4" t="s">
        <v>71</v>
      </c>
    </row>
    <row r="24" spans="1:8">
      <c r="A24" s="1" t="s">
        <v>25</v>
      </c>
      <c r="E24" s="6">
        <f>SUM(E13:E23)</f>
        <v>4818.1899999999996</v>
      </c>
    </row>
    <row r="26" spans="1:8" ht="13" customHeight="1">
      <c r="A26" s="51"/>
      <c r="B26" s="51"/>
      <c r="C26" s="51"/>
      <c r="D26" s="51"/>
      <c r="E26" s="51"/>
      <c r="H26" s="14"/>
    </row>
    <row r="27" spans="1:8" ht="20" customHeight="1">
      <c r="A27" s="1" t="s">
        <v>26</v>
      </c>
    </row>
    <row r="28" spans="1:8">
      <c r="A28" t="s">
        <v>73</v>
      </c>
      <c r="B28">
        <f>B8</f>
        <v>2000</v>
      </c>
      <c r="C28" t="s">
        <v>29</v>
      </c>
      <c r="D28" s="2">
        <v>1.1499999999999999</v>
      </c>
      <c r="E28" s="2">
        <f>B28*D28</f>
        <v>2300</v>
      </c>
    </row>
    <row r="29" spans="1:8">
      <c r="A29" t="s">
        <v>125</v>
      </c>
      <c r="B29">
        <v>25</v>
      </c>
      <c r="C29" t="s">
        <v>126</v>
      </c>
      <c r="D29" s="2">
        <v>20</v>
      </c>
      <c r="E29" s="2">
        <f>B29*D29</f>
        <v>500</v>
      </c>
    </row>
    <row r="30" spans="1:8">
      <c r="A30" s="3" t="s">
        <v>127</v>
      </c>
      <c r="B30">
        <v>18</v>
      </c>
      <c r="C30" t="s">
        <v>69</v>
      </c>
      <c r="D30" s="2">
        <f>Hired_Labor</f>
        <v>12.5</v>
      </c>
      <c r="E30" s="2">
        <f>B30*D30</f>
        <v>225</v>
      </c>
    </row>
    <row r="31" spans="1:8">
      <c r="A31" s="3" t="s">
        <v>128</v>
      </c>
      <c r="D31" s="2"/>
    </row>
    <row r="32" spans="1:8">
      <c r="A32" t="s">
        <v>139</v>
      </c>
      <c r="B32" s="2">
        <f>Hired_Labor/10</f>
        <v>1.25</v>
      </c>
      <c r="C32" t="s">
        <v>102</v>
      </c>
      <c r="D32" s="2"/>
      <c r="E32" s="2">
        <f>B8*B32</f>
        <v>2500</v>
      </c>
      <c r="F32" s="4" t="s">
        <v>83</v>
      </c>
    </row>
    <row r="33" spans="1:8">
      <c r="A33" t="s">
        <v>130</v>
      </c>
      <c r="B33" s="9">
        <f>Marketing_Pct</f>
        <v>0.1</v>
      </c>
      <c r="C33" t="s">
        <v>35</v>
      </c>
      <c r="D33" s="2"/>
      <c r="E33" s="2">
        <f>B33*E8</f>
        <v>1500</v>
      </c>
    </row>
    <row r="34" spans="1:8">
      <c r="A34" t="s">
        <v>85</v>
      </c>
      <c r="B34" s="52">
        <f>B8</f>
        <v>2000</v>
      </c>
      <c r="C34" s="52" t="s">
        <v>29</v>
      </c>
      <c r="D34" s="53">
        <v>0.1</v>
      </c>
      <c r="E34" s="53">
        <f>B34*D34</f>
        <v>200</v>
      </c>
      <c r="F34" s="4" t="s">
        <v>71</v>
      </c>
      <c r="H34" s="14"/>
    </row>
    <row r="35" spans="1:8">
      <c r="H35" s="14"/>
    </row>
    <row r="36" spans="1:8">
      <c r="A36" s="1" t="s">
        <v>36</v>
      </c>
      <c r="E36" s="6">
        <f>SUM(E28:E34)</f>
        <v>7225</v>
      </c>
      <c r="H36" s="14"/>
    </row>
    <row r="38" spans="1:8">
      <c r="A38" t="s">
        <v>37</v>
      </c>
      <c r="E38" s="5">
        <f>(Interest_Pct*0.5*E24)+(Interest_Pct*0.25*E36)</f>
        <v>252.92069999999998</v>
      </c>
    </row>
    <row r="40" spans="1:8">
      <c r="A40" s="1" t="s">
        <v>38</v>
      </c>
      <c r="B40" s="1"/>
      <c r="C40" s="1"/>
      <c r="D40" s="1"/>
      <c r="E40" s="6">
        <f>SUM(E24+E36+E38)</f>
        <v>12296.110699999999</v>
      </c>
    </row>
    <row r="43" spans="1:8">
      <c r="A43" s="55" t="s">
        <v>39</v>
      </c>
      <c r="B43" s="56"/>
      <c r="C43" s="56"/>
      <c r="D43" s="56"/>
      <c r="E43" s="57">
        <f>E8-E40</f>
        <v>2703.8893000000007</v>
      </c>
    </row>
    <row r="45" spans="1:8">
      <c r="A45" s="51"/>
      <c r="B45" s="51"/>
      <c r="C45" s="51"/>
      <c r="D45" s="51"/>
      <c r="E45" s="51"/>
    </row>
    <row r="46" spans="1:8" ht="20" customHeight="1">
      <c r="A46" s="1" t="s">
        <v>40</v>
      </c>
    </row>
    <row r="47" spans="1:8">
      <c r="A47" t="s">
        <v>41</v>
      </c>
      <c r="E47" s="2">
        <v>214.16</v>
      </c>
      <c r="F47" s="4" t="s">
        <v>71</v>
      </c>
    </row>
    <row r="48" spans="1:8">
      <c r="A48" t="s">
        <v>131</v>
      </c>
      <c r="E48" s="2">
        <v>160</v>
      </c>
      <c r="F48" s="4"/>
    </row>
    <row r="49" spans="1:5">
      <c r="A49" t="s">
        <v>132</v>
      </c>
      <c r="E49" s="2">
        <v>328.4</v>
      </c>
    </row>
    <row r="50" spans="1:5">
      <c r="A50" t="s">
        <v>42</v>
      </c>
      <c r="B50" s="46"/>
      <c r="C50" s="46"/>
      <c r="D50" s="46"/>
      <c r="E50" s="43">
        <v>5</v>
      </c>
    </row>
    <row r="51" spans="1:5">
      <c r="A51" t="s">
        <v>43</v>
      </c>
      <c r="B51" s="52"/>
      <c r="C51" s="52"/>
      <c r="D51" s="52"/>
      <c r="E51" s="53">
        <f>0.005*E8</f>
        <v>75</v>
      </c>
    </row>
    <row r="53" spans="1:5">
      <c r="A53" s="1" t="s">
        <v>44</v>
      </c>
      <c r="E53" s="10">
        <f>SUM(E47:E52)</f>
        <v>782.56</v>
      </c>
    </row>
    <row r="55" spans="1:5">
      <c r="A55" s="1" t="s">
        <v>45</v>
      </c>
      <c r="E55" s="6">
        <f>E40+E53</f>
        <v>13078.670699999999</v>
      </c>
    </row>
    <row r="57" spans="1:5">
      <c r="A57" s="55" t="s">
        <v>46</v>
      </c>
      <c r="B57" s="56"/>
      <c r="C57" s="56"/>
      <c r="D57" s="56"/>
      <c r="E57" s="83">
        <f>E8-E55</f>
        <v>1921.3293000000012</v>
      </c>
    </row>
    <row r="59" spans="1:5">
      <c r="A59" t="s">
        <v>47</v>
      </c>
      <c r="B59">
        <v>40</v>
      </c>
      <c r="C59" t="s">
        <v>48</v>
      </c>
      <c r="D59" s="2">
        <f>Operator_Labor</f>
        <v>15</v>
      </c>
      <c r="E59" s="2">
        <f>B59*D59</f>
        <v>600</v>
      </c>
    </row>
    <row r="60" spans="1:5" ht="13" thickBot="1">
      <c r="A60" s="44"/>
      <c r="B60" s="44"/>
      <c r="C60" s="44"/>
      <c r="D60" s="44"/>
      <c r="E60" s="44"/>
    </row>
    <row r="61" spans="1:5" ht="13" thickBot="1">
      <c r="A61" s="58" t="s">
        <v>49</v>
      </c>
      <c r="B61" s="44"/>
      <c r="C61" s="44"/>
      <c r="D61" s="44"/>
      <c r="E61" s="59">
        <f>E57-E59</f>
        <v>1321.3293000000012</v>
      </c>
    </row>
    <row r="64" spans="1:5">
      <c r="A64" s="4" t="s">
        <v>134</v>
      </c>
    </row>
    <row r="65" spans="1:1">
      <c r="A65" s="4" t="s">
        <v>260</v>
      </c>
    </row>
    <row r="66" spans="1:1">
      <c r="A66" s="4" t="s">
        <v>135</v>
      </c>
    </row>
    <row r="67" spans="1:1">
      <c r="A67" s="4" t="s">
        <v>261</v>
      </c>
    </row>
    <row r="68" spans="1:1">
      <c r="A68" s="4" t="s">
        <v>262</v>
      </c>
    </row>
    <row r="69" spans="1:1">
      <c r="A69" s="4" t="s">
        <v>263</v>
      </c>
    </row>
    <row r="70" spans="1:1">
      <c r="A70" s="4" t="s">
        <v>264</v>
      </c>
    </row>
    <row r="71" spans="1:1">
      <c r="A71" s="4" t="s">
        <v>265</v>
      </c>
    </row>
    <row r="72" spans="1:1">
      <c r="A72" s="4" t="s">
        <v>289</v>
      </c>
    </row>
    <row r="73" spans="1:1">
      <c r="A73" s="4" t="s">
        <v>301</v>
      </c>
    </row>
  </sheetData>
  <phoneticPr fontId="11" type="noConversion"/>
  <pageMargins left="0.75" right="0.75" top="1" bottom="1" header="0.5" footer="0.5"/>
  <pageSetup scale="51"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68"/>
  <sheetViews>
    <sheetView workbookViewId="0">
      <selection activeCell="O8" sqref="O8"/>
    </sheetView>
  </sheetViews>
  <sheetFormatPr baseColWidth="10" defaultColWidth="8.83203125" defaultRowHeight="12" x14ac:dyDescent="0"/>
  <cols>
    <col min="1" max="1" width="26.6640625" customWidth="1"/>
    <col min="2" max="2" width="7.33203125" customWidth="1"/>
    <col min="3" max="3" width="5" customWidth="1"/>
    <col min="4" max="4" width="8.5" customWidth="1"/>
    <col min="5" max="5" width="10" customWidth="1"/>
    <col min="6" max="6" width="3" customWidth="1"/>
    <col min="7" max="7" width="8.83203125" hidden="1" customWidth="1"/>
    <col min="8" max="8" width="9.83203125" customWidth="1"/>
    <col min="9" max="9" width="6" customWidth="1"/>
    <col min="10" max="10" width="6.83203125" customWidth="1"/>
  </cols>
  <sheetData>
    <row r="1" spans="1:10">
      <c r="A1" s="1" t="s">
        <v>141</v>
      </c>
    </row>
    <row r="2" spans="1:10">
      <c r="A2" s="1" t="s">
        <v>239</v>
      </c>
    </row>
    <row r="3" spans="1:10">
      <c r="A3" s="1" t="s">
        <v>292</v>
      </c>
    </row>
    <row r="4" spans="1:10">
      <c r="A4" s="1" t="s">
        <v>296</v>
      </c>
    </row>
    <row r="5" spans="1:10">
      <c r="A5" s="1" t="s">
        <v>297</v>
      </c>
    </row>
    <row r="6" spans="1:10" ht="16" customHeight="1">
      <c r="A6" s="101"/>
      <c r="B6" s="100" t="s">
        <v>2</v>
      </c>
      <c r="C6" s="100" t="s">
        <v>3</v>
      </c>
      <c r="D6" s="100" t="s">
        <v>4</v>
      </c>
      <c r="E6" s="100" t="s">
        <v>5</v>
      </c>
    </row>
    <row r="7" spans="1:10">
      <c r="A7" s="1" t="s">
        <v>6</v>
      </c>
    </row>
    <row r="8" spans="1:10">
      <c r="A8" t="s">
        <v>142</v>
      </c>
      <c r="B8" s="114">
        <v>275</v>
      </c>
      <c r="C8" s="101" t="s">
        <v>84</v>
      </c>
      <c r="D8" s="102">
        <v>12</v>
      </c>
      <c r="E8" s="102">
        <f>B8*D8</f>
        <v>3300</v>
      </c>
      <c r="F8" s="4" t="s">
        <v>79</v>
      </c>
      <c r="H8" s="1" t="s">
        <v>207</v>
      </c>
      <c r="I8" s="1">
        <v>5.5</v>
      </c>
      <c r="J8" s="1" t="s">
        <v>208</v>
      </c>
    </row>
    <row r="9" spans="1:10">
      <c r="H9" s="1" t="s">
        <v>209</v>
      </c>
      <c r="I9" s="1">
        <v>13.75</v>
      </c>
      <c r="J9" s="1" t="s">
        <v>208</v>
      </c>
    </row>
    <row r="10" spans="1:10">
      <c r="A10" s="51"/>
      <c r="B10" s="51"/>
      <c r="C10" s="51"/>
      <c r="D10" s="51"/>
      <c r="E10" s="51"/>
    </row>
    <row r="11" spans="1:10" ht="16" customHeight="1">
      <c r="A11" s="1" t="s">
        <v>10</v>
      </c>
    </row>
    <row r="12" spans="1:10">
      <c r="A12" t="s">
        <v>11</v>
      </c>
    </row>
    <row r="13" spans="1:10">
      <c r="A13" t="s">
        <v>12</v>
      </c>
      <c r="B13">
        <v>0.5</v>
      </c>
      <c r="C13" t="s">
        <v>13</v>
      </c>
      <c r="D13" s="2">
        <v>20</v>
      </c>
      <c r="E13" s="2">
        <f>B13*D13</f>
        <v>10</v>
      </c>
    </row>
    <row r="14" spans="1:10">
      <c r="A14" t="s">
        <v>14</v>
      </c>
      <c r="B14">
        <v>10</v>
      </c>
      <c r="C14" t="s">
        <v>84</v>
      </c>
      <c r="D14" s="2">
        <v>35</v>
      </c>
      <c r="E14" s="2">
        <f>B14*D14</f>
        <v>350</v>
      </c>
    </row>
    <row r="15" spans="1:10">
      <c r="A15" t="s">
        <v>143</v>
      </c>
      <c r="B15">
        <v>150</v>
      </c>
      <c r="C15" t="s">
        <v>15</v>
      </c>
      <c r="D15" s="2">
        <v>0.4</v>
      </c>
      <c r="E15" s="2">
        <f>B15*D15</f>
        <v>60</v>
      </c>
    </row>
    <row r="16" spans="1:10">
      <c r="A16" t="s">
        <v>16</v>
      </c>
      <c r="B16">
        <v>15</v>
      </c>
      <c r="C16" t="s">
        <v>84</v>
      </c>
      <c r="D16" s="2">
        <v>20</v>
      </c>
      <c r="E16" s="2">
        <f>B16*D16</f>
        <v>300</v>
      </c>
    </row>
    <row r="17" spans="1:6">
      <c r="A17" t="s">
        <v>144</v>
      </c>
      <c r="B17">
        <v>15</v>
      </c>
      <c r="C17" t="s">
        <v>84</v>
      </c>
      <c r="D17" s="2">
        <v>3</v>
      </c>
      <c r="E17" s="2">
        <f>B17*D17</f>
        <v>45</v>
      </c>
    </row>
    <row r="18" spans="1:6">
      <c r="A18" t="s">
        <v>18</v>
      </c>
      <c r="B18">
        <v>1</v>
      </c>
      <c r="C18" t="s">
        <v>19</v>
      </c>
      <c r="D18" s="2">
        <v>23.17</v>
      </c>
      <c r="E18" s="2">
        <f t="shared" ref="E18:E21" si="0">B18*D18</f>
        <v>23.17</v>
      </c>
      <c r="F18" s="4" t="s">
        <v>20</v>
      </c>
    </row>
    <row r="19" spans="1:6">
      <c r="A19" t="s">
        <v>21</v>
      </c>
      <c r="B19">
        <v>1</v>
      </c>
      <c r="C19" t="s">
        <v>19</v>
      </c>
      <c r="D19" s="2">
        <v>91.02</v>
      </c>
      <c r="E19" s="2">
        <f t="shared" si="0"/>
        <v>91.02</v>
      </c>
      <c r="F19" s="4" t="s">
        <v>20</v>
      </c>
    </row>
    <row r="20" spans="1:6">
      <c r="A20" t="s">
        <v>22</v>
      </c>
      <c r="B20">
        <v>1</v>
      </c>
      <c r="C20" t="s">
        <v>19</v>
      </c>
      <c r="D20" s="2">
        <v>95.07</v>
      </c>
      <c r="E20" s="2">
        <f t="shared" si="0"/>
        <v>95.07</v>
      </c>
      <c r="F20" s="4" t="s">
        <v>20</v>
      </c>
    </row>
    <row r="21" spans="1:6">
      <c r="A21" t="s">
        <v>66</v>
      </c>
      <c r="B21">
        <v>8</v>
      </c>
      <c r="C21" t="s">
        <v>31</v>
      </c>
      <c r="D21" s="2">
        <v>7.5</v>
      </c>
      <c r="E21" s="2">
        <f t="shared" si="0"/>
        <v>60</v>
      </c>
      <c r="F21" s="4" t="s">
        <v>32</v>
      </c>
    </row>
    <row r="22" spans="1:6">
      <c r="A22" t="s">
        <v>23</v>
      </c>
      <c r="B22" s="52">
        <v>1</v>
      </c>
      <c r="C22" s="52" t="s">
        <v>19</v>
      </c>
      <c r="D22" s="53">
        <v>49.8</v>
      </c>
      <c r="E22" s="53">
        <f>B22*D22</f>
        <v>49.8</v>
      </c>
      <c r="F22" s="4" t="s">
        <v>24</v>
      </c>
    </row>
    <row r="23" spans="1:6">
      <c r="A23" s="1" t="s">
        <v>25</v>
      </c>
      <c r="E23" s="6">
        <f>SUM(E13:E22)</f>
        <v>1084.06</v>
      </c>
    </row>
    <row r="25" spans="1:6">
      <c r="A25" s="51"/>
      <c r="B25" s="51"/>
      <c r="C25" s="51"/>
      <c r="D25" s="51"/>
      <c r="E25" s="51"/>
    </row>
    <row r="26" spans="1:6" ht="16" customHeight="1">
      <c r="A26" s="1" t="s">
        <v>26</v>
      </c>
    </row>
    <row r="27" spans="1:6">
      <c r="A27" t="s">
        <v>145</v>
      </c>
      <c r="B27">
        <v>1</v>
      </c>
      <c r="C27" t="s">
        <v>19</v>
      </c>
      <c r="D27">
        <v>28.35</v>
      </c>
      <c r="E27" s="2">
        <f>B27*D27</f>
        <v>28.35</v>
      </c>
      <c r="F27" s="3" t="s">
        <v>24</v>
      </c>
    </row>
    <row r="28" spans="1:6">
      <c r="A28" t="s">
        <v>146</v>
      </c>
      <c r="B28" s="7">
        <v>1000</v>
      </c>
      <c r="C28" t="s">
        <v>147</v>
      </c>
      <c r="D28" s="2">
        <v>0.16</v>
      </c>
      <c r="E28" s="2">
        <f>B28*D28</f>
        <v>160</v>
      </c>
      <c r="F28" s="4"/>
    </row>
    <row r="29" spans="1:6">
      <c r="A29" t="s">
        <v>148</v>
      </c>
      <c r="B29" s="7">
        <f>B8/I8</f>
        <v>50</v>
      </c>
      <c r="C29" t="s">
        <v>31</v>
      </c>
      <c r="D29" s="2">
        <f>Hired_Labor</f>
        <v>12.5</v>
      </c>
      <c r="E29" s="2">
        <f>B29*D29</f>
        <v>625</v>
      </c>
      <c r="F29" s="4"/>
    </row>
    <row r="30" spans="1:6">
      <c r="A30" t="s">
        <v>149</v>
      </c>
      <c r="B30" s="7">
        <v>1</v>
      </c>
      <c r="C30" t="s">
        <v>19</v>
      </c>
      <c r="D30" s="2">
        <v>150</v>
      </c>
      <c r="E30" s="2">
        <f>D30*B30</f>
        <v>150</v>
      </c>
      <c r="F30" s="4"/>
    </row>
    <row r="31" spans="1:6">
      <c r="A31" s="3" t="s">
        <v>206</v>
      </c>
      <c r="B31" s="7">
        <f>B8/I9</f>
        <v>20</v>
      </c>
      <c r="C31" t="s">
        <v>31</v>
      </c>
      <c r="D31" s="2">
        <f>Hired_Labor</f>
        <v>12.5</v>
      </c>
      <c r="E31" s="2">
        <f>D31*B31</f>
        <v>250</v>
      </c>
      <c r="F31" s="4"/>
    </row>
    <row r="32" spans="1:6">
      <c r="A32" t="s">
        <v>34</v>
      </c>
      <c r="B32" s="54">
        <f>Marketing_Pct</f>
        <v>0.1</v>
      </c>
      <c r="C32" s="52" t="s">
        <v>35</v>
      </c>
      <c r="D32" s="53"/>
      <c r="E32" s="53">
        <f>B32*E8</f>
        <v>330</v>
      </c>
    </row>
    <row r="34" spans="1:6">
      <c r="A34" s="1" t="s">
        <v>36</v>
      </c>
      <c r="E34" s="6">
        <f>SUM(E27:E32)</f>
        <v>1543.35</v>
      </c>
    </row>
    <row r="36" spans="1:6">
      <c r="A36" t="s">
        <v>37</v>
      </c>
      <c r="E36" s="5">
        <f>(Interest_Pct*0.5*E23)+(Interest_Pct*0.25*E34)</f>
        <v>55.672049999999999</v>
      </c>
    </row>
    <row r="38" spans="1:6">
      <c r="A38" s="1" t="s">
        <v>38</v>
      </c>
      <c r="B38" s="1"/>
      <c r="C38" s="1"/>
      <c r="D38" s="1"/>
      <c r="E38" s="6">
        <f>SUM(E23+E34+E36)</f>
        <v>2683.08205</v>
      </c>
    </row>
    <row r="41" spans="1:6">
      <c r="A41" s="55" t="s">
        <v>39</v>
      </c>
      <c r="B41" s="56"/>
      <c r="C41" s="56"/>
      <c r="D41" s="56"/>
      <c r="E41" s="57">
        <f>E8-E38</f>
        <v>616.91795000000002</v>
      </c>
    </row>
    <row r="43" spans="1:6">
      <c r="A43" s="51"/>
      <c r="B43" s="51"/>
      <c r="C43" s="51"/>
      <c r="D43" s="51"/>
      <c r="E43" s="51"/>
    </row>
    <row r="44" spans="1:6" ht="16" customHeight="1">
      <c r="A44" s="1" t="s">
        <v>40</v>
      </c>
    </row>
    <row r="45" spans="1:6">
      <c r="A45" t="s">
        <v>41</v>
      </c>
      <c r="E45" s="2">
        <v>104.17</v>
      </c>
      <c r="F45" s="4"/>
    </row>
    <row r="46" spans="1:6">
      <c r="A46" t="s">
        <v>132</v>
      </c>
      <c r="E46" s="2">
        <v>125</v>
      </c>
      <c r="F46" s="4" t="s">
        <v>32</v>
      </c>
    </row>
    <row r="47" spans="1:6">
      <c r="A47" s="3" t="s">
        <v>210</v>
      </c>
      <c r="E47" s="2">
        <v>150</v>
      </c>
      <c r="F47" s="4"/>
    </row>
    <row r="48" spans="1:6">
      <c r="A48" s="3" t="s">
        <v>42</v>
      </c>
      <c r="E48" s="2">
        <v>5</v>
      </c>
    </row>
    <row r="49" spans="1:5">
      <c r="A49" t="s">
        <v>43</v>
      </c>
      <c r="B49" s="52"/>
      <c r="C49" s="52"/>
      <c r="D49" s="52"/>
      <c r="E49" s="53">
        <f>0.01*E8</f>
        <v>33</v>
      </c>
    </row>
    <row r="52" spans="1:5">
      <c r="A52" s="1" t="s">
        <v>44</v>
      </c>
      <c r="E52" s="10">
        <f>SUM(E45:E51)</f>
        <v>417.17</v>
      </c>
    </row>
    <row r="54" spans="1:5">
      <c r="A54" s="1" t="s">
        <v>45</v>
      </c>
      <c r="E54" s="6">
        <f>E38+E52</f>
        <v>3100.2520500000001</v>
      </c>
    </row>
    <row r="56" spans="1:5">
      <c r="A56" s="55" t="s">
        <v>46</v>
      </c>
      <c r="B56" s="56"/>
      <c r="C56" s="56"/>
      <c r="D56" s="56"/>
      <c r="E56" s="83">
        <f>E8-E54</f>
        <v>199.74794999999995</v>
      </c>
    </row>
    <row r="58" spans="1:5">
      <c r="A58" t="s">
        <v>47</v>
      </c>
      <c r="B58">
        <v>10</v>
      </c>
      <c r="C58" t="s">
        <v>48</v>
      </c>
      <c r="D58" s="2">
        <f>Operator_Labor</f>
        <v>15</v>
      </c>
      <c r="E58" s="2">
        <f>B58*D58</f>
        <v>150</v>
      </c>
    </row>
    <row r="59" spans="1:5" ht="13" thickBot="1">
      <c r="A59" s="44"/>
      <c r="B59" s="44"/>
      <c r="C59" s="44"/>
      <c r="D59" s="44"/>
      <c r="E59" s="44"/>
    </row>
    <row r="60" spans="1:5" ht="13" thickBot="1">
      <c r="A60" s="58" t="s">
        <v>49</v>
      </c>
      <c r="B60" s="44"/>
      <c r="C60" s="44"/>
      <c r="D60" s="44"/>
      <c r="E60" s="59">
        <f>E56-E58</f>
        <v>49.747949999999946</v>
      </c>
    </row>
    <row r="62" spans="1:5" hidden="1"/>
    <row r="63" spans="1:5">
      <c r="A63" s="4" t="s">
        <v>266</v>
      </c>
    </row>
    <row r="64" spans="1:5">
      <c r="A64" s="4" t="s">
        <v>257</v>
      </c>
    </row>
    <row r="65" spans="1:1">
      <c r="A65" s="4" t="s">
        <v>150</v>
      </c>
    </row>
    <row r="66" spans="1:1">
      <c r="A66" s="4" t="s">
        <v>110</v>
      </c>
    </row>
    <row r="67" spans="1:1">
      <c r="A67" s="4" t="s">
        <v>267</v>
      </c>
    </row>
    <row r="68" spans="1:1">
      <c r="A68" s="4" t="s">
        <v>288</v>
      </c>
    </row>
  </sheetData>
  <phoneticPr fontId="11" type="noConversion"/>
  <pageMargins left="0.75" right="0.75" top="1" bottom="1" header="0.5" footer="0.5"/>
  <pageSetup scale="6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72"/>
  <sheetViews>
    <sheetView workbookViewId="0">
      <selection activeCell="K13" sqref="K13"/>
    </sheetView>
  </sheetViews>
  <sheetFormatPr baseColWidth="10" defaultColWidth="8.83203125" defaultRowHeight="12" x14ac:dyDescent="0"/>
  <cols>
    <col min="1" max="1" width="32.33203125" customWidth="1"/>
    <col min="2" max="2" width="7.83203125" customWidth="1"/>
    <col min="3" max="3" width="7.1640625" customWidth="1"/>
    <col min="4" max="4" width="8.33203125" customWidth="1"/>
    <col min="5" max="5" width="9.5" customWidth="1"/>
    <col min="6" max="6" width="3.33203125" customWidth="1"/>
    <col min="7" max="7" width="2.5" customWidth="1"/>
    <col min="8" max="8" width="27.1640625" customWidth="1"/>
    <col min="9" max="9" width="5.33203125" customWidth="1"/>
    <col min="10" max="10" width="7.6640625" customWidth="1"/>
    <col min="11" max="11" width="20.5" bestFit="1" customWidth="1"/>
  </cols>
  <sheetData>
    <row r="1" spans="1:13">
      <c r="A1" s="1" t="s">
        <v>151</v>
      </c>
      <c r="I1" s="1"/>
      <c r="J1" s="3"/>
      <c r="K1" s="13"/>
      <c r="L1" s="15"/>
      <c r="M1" s="13"/>
    </row>
    <row r="2" spans="1:13">
      <c r="A2" s="1" t="s">
        <v>239</v>
      </c>
      <c r="G2" s="1"/>
      <c r="K2" s="14"/>
      <c r="L2" s="12"/>
      <c r="M2" s="13"/>
    </row>
    <row r="3" spans="1:13">
      <c r="A3" s="1" t="s">
        <v>287</v>
      </c>
      <c r="G3" s="1"/>
    </row>
    <row r="4" spans="1:13">
      <c r="A4" s="1" t="s">
        <v>302</v>
      </c>
      <c r="G4" s="1"/>
    </row>
    <row r="5" spans="1:13">
      <c r="A5" s="1" t="s">
        <v>303</v>
      </c>
      <c r="G5" s="1"/>
    </row>
    <row r="6" spans="1:13">
      <c r="A6" s="101"/>
      <c r="B6" s="115" t="s">
        <v>2</v>
      </c>
      <c r="C6" s="115" t="s">
        <v>3</v>
      </c>
      <c r="D6" s="115" t="s">
        <v>4</v>
      </c>
      <c r="E6" s="115" t="s">
        <v>5</v>
      </c>
    </row>
    <row r="7" spans="1:13">
      <c r="A7" s="1" t="s">
        <v>6</v>
      </c>
      <c r="B7" s="32"/>
      <c r="G7" s="13"/>
      <c r="H7" s="14"/>
      <c r="I7" s="13"/>
      <c r="J7" s="13"/>
      <c r="K7" s="13"/>
    </row>
    <row r="8" spans="1:13">
      <c r="A8" t="s">
        <v>152</v>
      </c>
      <c r="B8" s="106">
        <v>30000</v>
      </c>
      <c r="C8" s="101" t="s">
        <v>17</v>
      </c>
      <c r="D8" s="102">
        <v>0.12</v>
      </c>
      <c r="E8" s="102">
        <f>B8*D8</f>
        <v>3600</v>
      </c>
      <c r="F8" s="4" t="s">
        <v>79</v>
      </c>
      <c r="G8" s="13"/>
      <c r="H8" s="13"/>
      <c r="I8" s="13"/>
      <c r="J8" s="13"/>
      <c r="K8" s="13"/>
    </row>
    <row r="9" spans="1:13">
      <c r="D9" s="2"/>
      <c r="E9" s="102">
        <f>B9*D9</f>
        <v>0</v>
      </c>
      <c r="G9" s="13"/>
      <c r="H9" s="12" t="s">
        <v>291</v>
      </c>
      <c r="I9" s="12">
        <v>350</v>
      </c>
      <c r="J9" s="12" t="s">
        <v>211</v>
      </c>
      <c r="K9" s="13"/>
    </row>
    <row r="10" spans="1:13" ht="15" customHeight="1">
      <c r="A10" t="s">
        <v>58</v>
      </c>
      <c r="E10" s="113">
        <f>SUM(E8:E9)</f>
        <v>3600</v>
      </c>
      <c r="G10" s="13"/>
      <c r="H10" s="13"/>
      <c r="I10" s="13"/>
      <c r="J10" s="13"/>
      <c r="K10" s="13"/>
    </row>
    <row r="11" spans="1:13">
      <c r="A11" s="51"/>
      <c r="B11" s="51"/>
      <c r="C11" s="51"/>
      <c r="D11" s="51"/>
      <c r="E11" s="51"/>
    </row>
    <row r="12" spans="1:13" ht="21" customHeight="1">
      <c r="A12" s="1" t="s">
        <v>10</v>
      </c>
      <c r="D12" s="36"/>
    </row>
    <row r="13" spans="1:13">
      <c r="A13" t="s">
        <v>11</v>
      </c>
      <c r="D13" s="36"/>
    </row>
    <row r="14" spans="1:13">
      <c r="A14" t="s">
        <v>153</v>
      </c>
      <c r="B14" s="37">
        <v>2</v>
      </c>
      <c r="C14" t="s">
        <v>60</v>
      </c>
      <c r="D14" s="21">
        <v>50</v>
      </c>
      <c r="E14" s="2">
        <f t="shared" ref="E14:E23" si="0">B14*D14</f>
        <v>100</v>
      </c>
    </row>
    <row r="15" spans="1:13">
      <c r="A15" t="s">
        <v>61</v>
      </c>
      <c r="B15">
        <v>100</v>
      </c>
      <c r="C15" t="s">
        <v>15</v>
      </c>
      <c r="D15" s="21">
        <v>0.4</v>
      </c>
      <c r="E15" s="2">
        <f t="shared" si="0"/>
        <v>40</v>
      </c>
    </row>
    <row r="16" spans="1:13">
      <c r="A16" t="s">
        <v>93</v>
      </c>
      <c r="B16">
        <v>80</v>
      </c>
      <c r="C16" t="s">
        <v>15</v>
      </c>
      <c r="D16" s="21">
        <v>0.3</v>
      </c>
      <c r="E16" s="2">
        <f t="shared" si="0"/>
        <v>24</v>
      </c>
    </row>
    <row r="17" spans="1:7">
      <c r="A17" t="s">
        <v>63</v>
      </c>
      <c r="B17" s="22">
        <v>154</v>
      </c>
      <c r="C17" t="s">
        <v>15</v>
      </c>
      <c r="D17" s="21">
        <v>0.45</v>
      </c>
      <c r="E17" s="2">
        <f t="shared" si="0"/>
        <v>69.3</v>
      </c>
      <c r="F17" t="s">
        <v>83</v>
      </c>
    </row>
    <row r="18" spans="1:7">
      <c r="A18" t="s">
        <v>64</v>
      </c>
      <c r="B18">
        <v>1</v>
      </c>
      <c r="C18" t="s">
        <v>19</v>
      </c>
      <c r="D18" s="21">
        <v>143</v>
      </c>
      <c r="E18" s="2">
        <f t="shared" si="0"/>
        <v>143</v>
      </c>
      <c r="F18" s="4" t="s">
        <v>32</v>
      </c>
    </row>
    <row r="19" spans="1:7">
      <c r="A19" t="s">
        <v>65</v>
      </c>
      <c r="B19">
        <v>1</v>
      </c>
      <c r="C19" t="s">
        <v>19</v>
      </c>
      <c r="D19" s="21">
        <v>230</v>
      </c>
      <c r="E19" s="2">
        <f t="shared" si="0"/>
        <v>230</v>
      </c>
      <c r="F19" s="4" t="s">
        <v>32</v>
      </c>
    </row>
    <row r="20" spans="1:7">
      <c r="A20" t="s">
        <v>92</v>
      </c>
      <c r="B20">
        <v>1</v>
      </c>
      <c r="C20" t="s">
        <v>91</v>
      </c>
      <c r="D20" s="21">
        <v>75</v>
      </c>
      <c r="E20" s="2">
        <f>B20*D20</f>
        <v>75</v>
      </c>
    </row>
    <row r="21" spans="1:7">
      <c r="A21" t="s">
        <v>90</v>
      </c>
      <c r="B21">
        <v>1</v>
      </c>
      <c r="C21" t="s">
        <v>19</v>
      </c>
      <c r="D21" s="21">
        <v>12.69</v>
      </c>
      <c r="E21" s="2">
        <f t="shared" si="0"/>
        <v>12.69</v>
      </c>
      <c r="F21" s="4"/>
    </row>
    <row r="22" spans="1:7">
      <c r="A22" t="s">
        <v>21</v>
      </c>
      <c r="B22">
        <v>1</v>
      </c>
      <c r="C22" t="s">
        <v>19</v>
      </c>
      <c r="D22" s="38">
        <v>29.85</v>
      </c>
      <c r="E22" s="2">
        <f t="shared" si="0"/>
        <v>29.85</v>
      </c>
      <c r="F22" s="4" t="s">
        <v>20</v>
      </c>
    </row>
    <row r="23" spans="1:7">
      <c r="A23" t="s">
        <v>22</v>
      </c>
      <c r="B23">
        <v>1</v>
      </c>
      <c r="C23" t="s">
        <v>19</v>
      </c>
      <c r="D23" s="39">
        <v>264.06</v>
      </c>
      <c r="E23" s="2">
        <f t="shared" si="0"/>
        <v>264.06</v>
      </c>
      <c r="F23" s="4" t="s">
        <v>20</v>
      </c>
      <c r="G23" s="3"/>
    </row>
    <row r="24" spans="1:7">
      <c r="A24" t="s">
        <v>66</v>
      </c>
      <c r="B24">
        <v>1</v>
      </c>
      <c r="C24" t="s">
        <v>19</v>
      </c>
      <c r="D24" s="21">
        <v>50</v>
      </c>
      <c r="E24" s="2">
        <f>B24*D24</f>
        <v>50</v>
      </c>
      <c r="F24" s="4" t="s">
        <v>32</v>
      </c>
    </row>
    <row r="25" spans="1:7">
      <c r="A25" t="s">
        <v>154</v>
      </c>
      <c r="B25">
        <v>10</v>
      </c>
      <c r="C25" t="s">
        <v>48</v>
      </c>
      <c r="D25" s="21">
        <f>Hired_Labor</f>
        <v>12.5</v>
      </c>
      <c r="E25" s="2">
        <f>B25*D25</f>
        <v>125</v>
      </c>
      <c r="F25" s="4"/>
    </row>
    <row r="26" spans="1:7">
      <c r="A26" t="s">
        <v>23</v>
      </c>
      <c r="B26" s="52">
        <v>1</v>
      </c>
      <c r="C26" s="52" t="s">
        <v>19</v>
      </c>
      <c r="D26" s="69">
        <v>43.61</v>
      </c>
      <c r="E26" s="53">
        <f>B26*D26</f>
        <v>43.61</v>
      </c>
      <c r="F26" s="4" t="s">
        <v>24</v>
      </c>
    </row>
    <row r="27" spans="1:7">
      <c r="A27" s="1" t="s">
        <v>25</v>
      </c>
      <c r="D27" s="36"/>
      <c r="E27" s="6">
        <f>SUM(E14:E26)</f>
        <v>1206.51</v>
      </c>
    </row>
    <row r="28" spans="1:7">
      <c r="D28" s="36"/>
    </row>
    <row r="29" spans="1:7" ht="13" customHeight="1">
      <c r="A29" s="51"/>
      <c r="B29" s="51"/>
      <c r="C29" s="51"/>
      <c r="D29" s="51"/>
      <c r="E29" s="51"/>
    </row>
    <row r="30" spans="1:7" ht="21" customHeight="1">
      <c r="A30" s="1" t="s">
        <v>26</v>
      </c>
    </row>
    <row r="31" spans="1:7">
      <c r="A31" t="s">
        <v>68</v>
      </c>
      <c r="B31">
        <v>10</v>
      </c>
      <c r="C31" t="s">
        <v>69</v>
      </c>
      <c r="D31" s="2">
        <f>Hired_Labor</f>
        <v>12.5</v>
      </c>
      <c r="E31" s="2">
        <f>B31*D31</f>
        <v>125</v>
      </c>
    </row>
    <row r="32" spans="1:7">
      <c r="A32" t="s">
        <v>89</v>
      </c>
      <c r="D32" s="2"/>
    </row>
    <row r="33" spans="1:7">
      <c r="A33" t="s">
        <v>155</v>
      </c>
      <c r="B33" s="7">
        <f>B8/I9</f>
        <v>85.714285714285708</v>
      </c>
      <c r="C33" t="s">
        <v>31</v>
      </c>
      <c r="D33" s="2">
        <f>Hired_Labor</f>
        <v>12.5</v>
      </c>
      <c r="E33" s="2">
        <f>B33*D33</f>
        <v>1071.4285714285713</v>
      </c>
      <c r="F33" s="4" t="s">
        <v>71</v>
      </c>
      <c r="G33" s="3"/>
    </row>
    <row r="34" spans="1:7">
      <c r="A34" t="s">
        <v>156</v>
      </c>
      <c r="B34" s="89">
        <f>ROUNDUP(B8/725,0)</f>
        <v>42</v>
      </c>
      <c r="C34" s="46" t="s">
        <v>86</v>
      </c>
      <c r="D34" s="43">
        <v>11.75</v>
      </c>
      <c r="E34" s="43">
        <f>B34*D34</f>
        <v>493.5</v>
      </c>
      <c r="F34" s="4"/>
      <c r="G34" s="3"/>
    </row>
    <row r="35" spans="1:7">
      <c r="A35" t="s">
        <v>34</v>
      </c>
      <c r="B35" s="54">
        <f>Marketing_Pct</f>
        <v>0.1</v>
      </c>
      <c r="C35" s="52" t="s">
        <v>35</v>
      </c>
      <c r="D35" s="53"/>
      <c r="E35" s="53">
        <f>B35*E10</f>
        <v>360</v>
      </c>
    </row>
    <row r="36" spans="1:7">
      <c r="B36" s="40"/>
      <c r="D36" s="2"/>
      <c r="E36" s="2"/>
      <c r="F36" s="4"/>
    </row>
    <row r="38" spans="1:7">
      <c r="A38" s="1" t="s">
        <v>36</v>
      </c>
      <c r="E38" s="6">
        <f>SUM(E31:E36)</f>
        <v>2049.9285714285716</v>
      </c>
    </row>
    <row r="40" spans="1:7">
      <c r="A40" t="s">
        <v>37</v>
      </c>
      <c r="E40" s="5">
        <f>(Interest_Pct*0.5*E27)+(Interest_Pct*0.25*E38)</f>
        <v>66.944228571428567</v>
      </c>
    </row>
    <row r="42" spans="1:7">
      <c r="A42" s="1" t="s">
        <v>38</v>
      </c>
      <c r="B42" s="1"/>
      <c r="C42" s="1"/>
      <c r="D42" s="1"/>
      <c r="E42" s="6">
        <f>SUM(E27+E38+E40)</f>
        <v>3323.3828000000003</v>
      </c>
    </row>
    <row r="44" spans="1:7" ht="6" customHeight="1"/>
    <row r="45" spans="1:7">
      <c r="A45" s="55" t="s">
        <v>39</v>
      </c>
      <c r="B45" s="56"/>
      <c r="C45" s="56"/>
      <c r="D45" s="56"/>
      <c r="E45" s="57">
        <f>E10-E42</f>
        <v>276.61719999999968</v>
      </c>
    </row>
    <row r="47" spans="1:7" ht="14" customHeight="1">
      <c r="A47" s="51"/>
      <c r="B47" s="51"/>
      <c r="C47" s="51"/>
      <c r="D47" s="51"/>
      <c r="E47" s="51"/>
    </row>
    <row r="48" spans="1:7" ht="21" customHeight="1">
      <c r="A48" s="1" t="s">
        <v>40</v>
      </c>
    </row>
    <row r="49" spans="1:6">
      <c r="A49" t="s">
        <v>41</v>
      </c>
      <c r="E49" s="2">
        <v>68.989999999999995</v>
      </c>
      <c r="F49" s="4" t="s">
        <v>24</v>
      </c>
    </row>
    <row r="50" spans="1:6">
      <c r="A50" t="s">
        <v>74</v>
      </c>
      <c r="E50" s="2">
        <v>322.8</v>
      </c>
      <c r="F50" t="s">
        <v>32</v>
      </c>
    </row>
    <row r="51" spans="1:6">
      <c r="A51" t="s">
        <v>42</v>
      </c>
      <c r="E51" s="2">
        <v>5</v>
      </c>
    </row>
    <row r="52" spans="1:6">
      <c r="A52" t="s">
        <v>43</v>
      </c>
      <c r="B52" s="52"/>
      <c r="C52" s="52"/>
      <c r="D52" s="52"/>
      <c r="E52" s="53">
        <f>0.01*E42</f>
        <v>33.233828000000003</v>
      </c>
    </row>
    <row r="54" spans="1:6">
      <c r="A54" s="1" t="s">
        <v>44</v>
      </c>
      <c r="E54" s="10">
        <f>SUM(E49:E53)</f>
        <v>430.02382800000004</v>
      </c>
    </row>
    <row r="56" spans="1:6">
      <c r="A56" s="1" t="s">
        <v>45</v>
      </c>
      <c r="E56" s="6">
        <f>E42+E54</f>
        <v>3753.4066280000002</v>
      </c>
    </row>
    <row r="58" spans="1:6">
      <c r="A58" s="55" t="s">
        <v>46</v>
      </c>
      <c r="B58" s="56"/>
      <c r="C58" s="56"/>
      <c r="D58" s="56"/>
      <c r="E58" s="83">
        <f>E10-E56</f>
        <v>-153.40662800000018</v>
      </c>
    </row>
    <row r="60" spans="1:6">
      <c r="A60" t="s">
        <v>75</v>
      </c>
      <c r="B60">
        <v>10</v>
      </c>
      <c r="C60" t="s">
        <v>48</v>
      </c>
      <c r="D60" s="2">
        <f>Operator_Labor</f>
        <v>15</v>
      </c>
      <c r="E60" s="2">
        <f>B60*D60</f>
        <v>150</v>
      </c>
    </row>
    <row r="61" spans="1:6" ht="13" thickBot="1">
      <c r="A61" s="44"/>
      <c r="B61" s="44"/>
      <c r="C61" s="44"/>
      <c r="D61" s="44"/>
      <c r="E61" s="44"/>
    </row>
    <row r="62" spans="1:6" ht="13" thickBot="1">
      <c r="A62" s="58" t="s">
        <v>49</v>
      </c>
      <c r="B62" s="44"/>
      <c r="C62" s="44"/>
      <c r="D62" s="44"/>
      <c r="E62" s="59">
        <f>E58-E60</f>
        <v>-303.40662800000018</v>
      </c>
    </row>
    <row r="64" spans="1:6" ht="6.75" customHeight="1"/>
    <row r="65" spans="1:1">
      <c r="A65" s="4" t="s">
        <v>76</v>
      </c>
    </row>
    <row r="66" spans="1:1">
      <c r="A66" s="4" t="s">
        <v>157</v>
      </c>
    </row>
    <row r="67" spans="1:1">
      <c r="A67" s="4" t="s">
        <v>78</v>
      </c>
    </row>
    <row r="68" spans="1:1">
      <c r="A68" s="4" t="s">
        <v>110</v>
      </c>
    </row>
    <row r="69" spans="1:1">
      <c r="A69" s="4" t="s">
        <v>245</v>
      </c>
    </row>
    <row r="70" spans="1:1">
      <c r="A70" s="4" t="s">
        <v>250</v>
      </c>
    </row>
    <row r="71" spans="1:1">
      <c r="A71" s="4" t="s">
        <v>268</v>
      </c>
    </row>
    <row r="72" spans="1:1">
      <c r="A72" s="4" t="s">
        <v>289</v>
      </c>
    </row>
  </sheetData>
  <phoneticPr fontId="11" type="noConversion"/>
  <pageMargins left="0.75" right="0.75" top="1" bottom="1" header="0.5" footer="0.5"/>
  <pageSetup scale="48"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72"/>
  <sheetViews>
    <sheetView workbookViewId="0">
      <selection activeCell="L14" sqref="L14"/>
    </sheetView>
  </sheetViews>
  <sheetFormatPr baseColWidth="10" defaultColWidth="8.83203125" defaultRowHeight="12" x14ac:dyDescent="0"/>
  <cols>
    <col min="1" max="1" width="32" customWidth="1"/>
    <col min="2" max="2" width="7.5" customWidth="1"/>
    <col min="3" max="3" width="5.6640625" customWidth="1"/>
    <col min="4" max="4" width="8.33203125" customWidth="1"/>
    <col min="5" max="5" width="9.5" customWidth="1"/>
    <col min="6" max="6" width="2.6640625" customWidth="1"/>
    <col min="7" max="7" width="8.83203125" hidden="1" customWidth="1"/>
    <col min="8" max="8" width="27" customWidth="1"/>
    <col min="9" max="9" width="5.5" customWidth="1"/>
    <col min="11" max="11" width="20.5" bestFit="1" customWidth="1"/>
  </cols>
  <sheetData>
    <row r="1" spans="1:13">
      <c r="A1" s="1" t="s">
        <v>158</v>
      </c>
      <c r="I1" s="1"/>
      <c r="J1" s="3"/>
      <c r="K1" s="13"/>
      <c r="L1" s="15"/>
      <c r="M1" s="13"/>
    </row>
    <row r="2" spans="1:13">
      <c r="A2" s="1" t="s">
        <v>239</v>
      </c>
      <c r="G2" s="1"/>
      <c r="K2" s="14"/>
      <c r="L2" s="12"/>
      <c r="M2" s="13"/>
    </row>
    <row r="3" spans="1:13">
      <c r="A3" s="1" t="s">
        <v>287</v>
      </c>
      <c r="G3" s="1"/>
    </row>
    <row r="4" spans="1:13">
      <c r="A4" s="1" t="s">
        <v>302</v>
      </c>
    </row>
    <row r="5" spans="1:13">
      <c r="A5" s="1" t="s">
        <v>303</v>
      </c>
    </row>
    <row r="6" spans="1:13">
      <c r="A6" s="101"/>
      <c r="B6" s="100" t="s">
        <v>2</v>
      </c>
      <c r="C6" s="100" t="s">
        <v>3</v>
      </c>
      <c r="D6" s="100" t="s">
        <v>4</v>
      </c>
      <c r="E6" s="100" t="s">
        <v>5</v>
      </c>
    </row>
    <row r="7" spans="1:13">
      <c r="A7" s="1" t="s">
        <v>6</v>
      </c>
      <c r="B7" s="114"/>
      <c r="C7" s="101"/>
      <c r="D7" s="101"/>
      <c r="E7" s="101"/>
      <c r="G7" s="13"/>
      <c r="H7" s="14"/>
      <c r="I7" s="13"/>
      <c r="J7" s="13"/>
      <c r="K7" s="13"/>
    </row>
    <row r="8" spans="1:13">
      <c r="A8" t="s">
        <v>159</v>
      </c>
      <c r="B8" s="106">
        <v>375</v>
      </c>
      <c r="C8" s="101" t="s">
        <v>29</v>
      </c>
      <c r="D8" s="102">
        <v>12</v>
      </c>
      <c r="E8" s="102">
        <f>B8*D8</f>
        <v>4500</v>
      </c>
      <c r="F8" s="4" t="s">
        <v>79</v>
      </c>
      <c r="G8" s="13"/>
      <c r="H8" s="12" t="s">
        <v>291</v>
      </c>
      <c r="I8" s="12">
        <v>6.25</v>
      </c>
      <c r="J8" s="12" t="s">
        <v>290</v>
      </c>
      <c r="K8" s="13"/>
    </row>
    <row r="9" spans="1:13">
      <c r="D9" s="2"/>
      <c r="E9" s="102">
        <f>B9*D9</f>
        <v>0</v>
      </c>
      <c r="G9" s="13"/>
      <c r="H9" s="13"/>
      <c r="I9" s="13"/>
      <c r="J9" s="13"/>
      <c r="K9" s="13"/>
    </row>
    <row r="10" spans="1:13" ht="15" customHeight="1">
      <c r="A10" t="s">
        <v>58</v>
      </c>
      <c r="E10" s="113">
        <f>SUM(E8:E9)</f>
        <v>4500</v>
      </c>
      <c r="G10" s="13"/>
      <c r="H10" s="13"/>
      <c r="I10" s="13"/>
      <c r="J10" s="13"/>
      <c r="K10" s="13"/>
    </row>
    <row r="11" spans="1:13">
      <c r="A11" s="51"/>
      <c r="B11" s="51"/>
      <c r="C11" s="51"/>
      <c r="D11" s="51"/>
      <c r="E11" s="51"/>
    </row>
    <row r="12" spans="1:13" ht="21" customHeight="1">
      <c r="A12" s="1" t="s">
        <v>10</v>
      </c>
    </row>
    <row r="13" spans="1:13">
      <c r="A13" t="s">
        <v>11</v>
      </c>
      <c r="D13" s="36"/>
    </row>
    <row r="14" spans="1:13">
      <c r="A14" t="s">
        <v>160</v>
      </c>
      <c r="B14" s="31">
        <v>1815</v>
      </c>
      <c r="C14" t="s">
        <v>94</v>
      </c>
      <c r="D14" s="21">
        <v>0.25</v>
      </c>
      <c r="E14" s="2">
        <f t="shared" ref="E14:E23" si="0">B14*D14</f>
        <v>453.75</v>
      </c>
    </row>
    <row r="15" spans="1:13">
      <c r="A15" t="s">
        <v>61</v>
      </c>
      <c r="B15">
        <v>100</v>
      </c>
      <c r="C15" t="s">
        <v>15</v>
      </c>
      <c r="D15" s="21">
        <v>0.4</v>
      </c>
      <c r="E15" s="2">
        <f t="shared" si="0"/>
        <v>40</v>
      </c>
    </row>
    <row r="16" spans="1:13">
      <c r="A16" t="s">
        <v>93</v>
      </c>
      <c r="B16">
        <v>80</v>
      </c>
      <c r="C16" t="s">
        <v>15</v>
      </c>
      <c r="D16" s="21">
        <v>0.3</v>
      </c>
      <c r="E16" s="2">
        <f t="shared" si="0"/>
        <v>24</v>
      </c>
    </row>
    <row r="17" spans="1:7">
      <c r="A17" t="s">
        <v>63</v>
      </c>
      <c r="B17" s="22">
        <v>154</v>
      </c>
      <c r="C17" t="s">
        <v>15</v>
      </c>
      <c r="D17" s="21">
        <v>0.45</v>
      </c>
      <c r="E17" s="2">
        <f t="shared" si="0"/>
        <v>69.3</v>
      </c>
      <c r="F17" t="s">
        <v>83</v>
      </c>
    </row>
    <row r="18" spans="1:7">
      <c r="A18" t="s">
        <v>64</v>
      </c>
      <c r="B18">
        <v>1</v>
      </c>
      <c r="C18" t="s">
        <v>19</v>
      </c>
      <c r="D18" s="21">
        <v>143</v>
      </c>
      <c r="E18" s="2">
        <f t="shared" si="0"/>
        <v>143</v>
      </c>
      <c r="F18" s="4" t="s">
        <v>32</v>
      </c>
    </row>
    <row r="19" spans="1:7">
      <c r="A19" t="s">
        <v>65</v>
      </c>
      <c r="B19">
        <v>1</v>
      </c>
      <c r="C19" t="s">
        <v>19</v>
      </c>
      <c r="D19" s="21">
        <v>230</v>
      </c>
      <c r="E19" s="2">
        <f t="shared" si="0"/>
        <v>230</v>
      </c>
      <c r="F19" s="4" t="s">
        <v>32</v>
      </c>
    </row>
    <row r="20" spans="1:7">
      <c r="A20" t="s">
        <v>92</v>
      </c>
      <c r="B20">
        <v>1</v>
      </c>
      <c r="C20" t="s">
        <v>91</v>
      </c>
      <c r="D20" s="21">
        <v>75</v>
      </c>
      <c r="E20" s="2">
        <f>B20*D20</f>
        <v>75</v>
      </c>
    </row>
    <row r="21" spans="1:7">
      <c r="A21" t="s">
        <v>90</v>
      </c>
      <c r="B21">
        <v>1</v>
      </c>
      <c r="C21" t="s">
        <v>19</v>
      </c>
      <c r="D21" s="21">
        <v>12.69</v>
      </c>
      <c r="E21" s="2">
        <f t="shared" si="0"/>
        <v>12.69</v>
      </c>
      <c r="F21" s="4"/>
    </row>
    <row r="22" spans="1:7">
      <c r="A22" t="s">
        <v>21</v>
      </c>
      <c r="B22">
        <v>1</v>
      </c>
      <c r="C22" t="s">
        <v>19</v>
      </c>
      <c r="D22" s="38">
        <v>29.85</v>
      </c>
      <c r="E22" s="2">
        <f t="shared" si="0"/>
        <v>29.85</v>
      </c>
      <c r="F22" s="4" t="s">
        <v>20</v>
      </c>
    </row>
    <row r="23" spans="1:7">
      <c r="A23" t="s">
        <v>22</v>
      </c>
      <c r="B23">
        <v>1</v>
      </c>
      <c r="C23" t="s">
        <v>19</v>
      </c>
      <c r="D23" s="39">
        <v>264.06</v>
      </c>
      <c r="E23" s="2">
        <f t="shared" si="0"/>
        <v>264.06</v>
      </c>
      <c r="F23" s="4" t="s">
        <v>20</v>
      </c>
      <c r="G23" s="3"/>
    </row>
    <row r="24" spans="1:7">
      <c r="A24" t="s">
        <v>66</v>
      </c>
      <c r="B24">
        <v>1</v>
      </c>
      <c r="C24" t="s">
        <v>19</v>
      </c>
      <c r="D24" s="21">
        <v>50</v>
      </c>
      <c r="E24" s="2">
        <f>B24*D24</f>
        <v>50</v>
      </c>
      <c r="F24" s="4" t="s">
        <v>32</v>
      </c>
    </row>
    <row r="25" spans="1:7">
      <c r="A25" t="s">
        <v>67</v>
      </c>
      <c r="B25">
        <v>16</v>
      </c>
      <c r="C25" t="s">
        <v>48</v>
      </c>
      <c r="D25" s="21">
        <f>Hired_Labor</f>
        <v>12.5</v>
      </c>
      <c r="E25" s="2">
        <f>B25*D25</f>
        <v>200</v>
      </c>
      <c r="F25" s="4"/>
    </row>
    <row r="26" spans="1:7">
      <c r="A26" t="s">
        <v>23</v>
      </c>
      <c r="B26" s="52">
        <v>1</v>
      </c>
      <c r="C26" s="52" t="s">
        <v>19</v>
      </c>
      <c r="D26" s="69">
        <v>43.61</v>
      </c>
      <c r="E26" s="53">
        <f>B26*D26</f>
        <v>43.61</v>
      </c>
      <c r="F26" s="4" t="s">
        <v>24</v>
      </c>
    </row>
    <row r="27" spans="1:7">
      <c r="A27" s="1" t="s">
        <v>25</v>
      </c>
      <c r="D27" s="36"/>
      <c r="E27" s="6">
        <f>SUM(E14:E26)</f>
        <v>1635.2599999999998</v>
      </c>
    </row>
    <row r="28" spans="1:7">
      <c r="D28" s="36"/>
    </row>
    <row r="29" spans="1:7" ht="16" customHeight="1">
      <c r="A29" s="51"/>
      <c r="B29" s="51"/>
      <c r="C29" s="51"/>
      <c r="D29" s="51"/>
      <c r="E29" s="51"/>
    </row>
    <row r="30" spans="1:7" ht="21" customHeight="1">
      <c r="A30" s="1" t="s">
        <v>26</v>
      </c>
    </row>
    <row r="31" spans="1:7">
      <c r="A31" t="s">
        <v>68</v>
      </c>
      <c r="B31">
        <v>10</v>
      </c>
      <c r="C31" t="s">
        <v>69</v>
      </c>
      <c r="D31" s="2">
        <f>Hired_Labor</f>
        <v>12.5</v>
      </c>
      <c r="E31" s="2">
        <f>B31*D31</f>
        <v>125</v>
      </c>
    </row>
    <row r="32" spans="1:7">
      <c r="A32" t="s">
        <v>89</v>
      </c>
      <c r="D32" s="2"/>
    </row>
    <row r="33" spans="1:7">
      <c r="A33" t="s">
        <v>88</v>
      </c>
      <c r="B33" s="7">
        <f>B8/I8</f>
        <v>60</v>
      </c>
      <c r="C33" t="s">
        <v>31</v>
      </c>
      <c r="D33" s="2">
        <f>Hired_Labor</f>
        <v>12.5</v>
      </c>
      <c r="E33" s="2">
        <f>B33*D33</f>
        <v>750</v>
      </c>
      <c r="F33" s="4" t="s">
        <v>71</v>
      </c>
      <c r="G33" s="3"/>
    </row>
    <row r="34" spans="1:7">
      <c r="A34" t="s">
        <v>73</v>
      </c>
      <c r="B34" s="25">
        <f>B8</f>
        <v>375</v>
      </c>
      <c r="C34" t="s">
        <v>29</v>
      </c>
      <c r="D34" s="2">
        <v>1.4</v>
      </c>
      <c r="E34" s="2">
        <f>B34*D34</f>
        <v>525</v>
      </c>
      <c r="F34" s="4"/>
      <c r="G34" s="3"/>
    </row>
    <row r="35" spans="1:7">
      <c r="A35" t="s">
        <v>34</v>
      </c>
      <c r="B35" s="9">
        <f>Marketing_Pct</f>
        <v>0.1</v>
      </c>
      <c r="C35" t="s">
        <v>35</v>
      </c>
      <c r="D35" s="2"/>
      <c r="E35" s="2">
        <f>B35*E10</f>
        <v>450</v>
      </c>
    </row>
    <row r="36" spans="1:7">
      <c r="A36" t="s">
        <v>85</v>
      </c>
      <c r="B36" s="90">
        <f>B8</f>
        <v>375</v>
      </c>
      <c r="C36" s="52" t="s">
        <v>29</v>
      </c>
      <c r="D36" s="53">
        <v>0.5</v>
      </c>
      <c r="E36" s="53">
        <f>B36*D36</f>
        <v>187.5</v>
      </c>
      <c r="F36" s="4" t="s">
        <v>24</v>
      </c>
    </row>
    <row r="38" spans="1:7">
      <c r="A38" s="1" t="s">
        <v>36</v>
      </c>
      <c r="E38" s="6">
        <f>SUM(E31:E36)</f>
        <v>2037.5</v>
      </c>
    </row>
    <row r="40" spans="1:7">
      <c r="A40" t="s">
        <v>37</v>
      </c>
      <c r="E40" s="5">
        <f>(Interest_Pct*0.5*E27)+(Interest_Pct*0.25*E38)</f>
        <v>79.620299999999986</v>
      </c>
    </row>
    <row r="42" spans="1:7">
      <c r="A42" s="1" t="s">
        <v>38</v>
      </c>
      <c r="B42" s="1"/>
      <c r="C42" s="1"/>
      <c r="D42" s="1"/>
      <c r="E42" s="6">
        <f>SUM(E27+E38+E40)</f>
        <v>3752.3802999999998</v>
      </c>
    </row>
    <row r="44" spans="1:7" ht="6" customHeight="1"/>
    <row r="45" spans="1:7">
      <c r="A45" s="55" t="s">
        <v>39</v>
      </c>
      <c r="B45" s="56"/>
      <c r="C45" s="56"/>
      <c r="D45" s="56"/>
      <c r="E45" s="57">
        <f>E10-E42</f>
        <v>747.61970000000019</v>
      </c>
    </row>
    <row r="47" spans="1:7" ht="13" customHeight="1">
      <c r="A47" s="51"/>
      <c r="B47" s="51"/>
      <c r="C47" s="51"/>
      <c r="D47" s="51"/>
      <c r="E47" s="51"/>
    </row>
    <row r="48" spans="1:7" ht="21" customHeight="1">
      <c r="A48" s="1" t="s">
        <v>40</v>
      </c>
    </row>
    <row r="49" spans="1:6">
      <c r="A49" t="s">
        <v>41</v>
      </c>
      <c r="E49" s="2">
        <f>68.99</f>
        <v>68.989999999999995</v>
      </c>
      <c r="F49" s="4" t="s">
        <v>24</v>
      </c>
    </row>
    <row r="50" spans="1:6">
      <c r="A50" t="s">
        <v>74</v>
      </c>
      <c r="E50" s="2">
        <v>322.8</v>
      </c>
      <c r="F50" t="s">
        <v>32</v>
      </c>
    </row>
    <row r="51" spans="1:6">
      <c r="A51" t="s">
        <v>42</v>
      </c>
      <c r="E51" s="2">
        <v>5</v>
      </c>
    </row>
    <row r="52" spans="1:6">
      <c r="A52" t="s">
        <v>43</v>
      </c>
      <c r="B52" s="52"/>
      <c r="C52" s="52"/>
      <c r="D52" s="52"/>
      <c r="E52" s="53">
        <f>0.01*E42</f>
        <v>37.523803000000001</v>
      </c>
    </row>
    <row r="54" spans="1:6">
      <c r="A54" s="1" t="s">
        <v>44</v>
      </c>
      <c r="E54" s="10">
        <f>SUM(E49:E53)</f>
        <v>434.31380300000001</v>
      </c>
    </row>
    <row r="56" spans="1:6">
      <c r="A56" s="1" t="s">
        <v>45</v>
      </c>
      <c r="E56" s="6">
        <f>E42+E54</f>
        <v>4186.6941029999998</v>
      </c>
    </row>
    <row r="58" spans="1:6">
      <c r="A58" s="55" t="s">
        <v>46</v>
      </c>
      <c r="B58" s="56"/>
      <c r="C58" s="56"/>
      <c r="D58" s="56"/>
      <c r="E58" s="83">
        <f>E10-E56</f>
        <v>313.30589700000019</v>
      </c>
    </row>
    <row r="60" spans="1:6">
      <c r="A60" t="s">
        <v>75</v>
      </c>
      <c r="B60">
        <v>15</v>
      </c>
      <c r="C60" t="s">
        <v>48</v>
      </c>
      <c r="D60" s="2">
        <f>Operator_Labor</f>
        <v>15</v>
      </c>
      <c r="E60" s="2">
        <f>B60*D60</f>
        <v>225</v>
      </c>
    </row>
    <row r="61" spans="1:6" ht="13" thickBot="1">
      <c r="A61" s="44"/>
      <c r="B61" s="44"/>
      <c r="C61" s="44"/>
      <c r="D61" s="44"/>
      <c r="E61" s="44"/>
    </row>
    <row r="62" spans="1:6" ht="13" thickBot="1">
      <c r="A62" s="58" t="s">
        <v>49</v>
      </c>
      <c r="B62" s="44"/>
      <c r="C62" s="44"/>
      <c r="D62" s="44"/>
      <c r="E62" s="59">
        <f>E58-E60</f>
        <v>88.305897000000186</v>
      </c>
    </row>
    <row r="64" spans="1:6" ht="6.75" customHeight="1"/>
    <row r="65" spans="1:1">
      <c r="A65" s="4" t="s">
        <v>76</v>
      </c>
    </row>
    <row r="66" spans="1:1">
      <c r="A66" s="4" t="s">
        <v>157</v>
      </c>
    </row>
    <row r="67" spans="1:1">
      <c r="A67" s="4" t="s">
        <v>78</v>
      </c>
    </row>
    <row r="68" spans="1:1">
      <c r="A68" s="4" t="s">
        <v>110</v>
      </c>
    </row>
    <row r="69" spans="1:1">
      <c r="A69" s="4" t="s">
        <v>245</v>
      </c>
    </row>
    <row r="70" spans="1:1">
      <c r="A70" s="4" t="s">
        <v>250</v>
      </c>
    </row>
    <row r="71" spans="1:1">
      <c r="A71" s="4" t="s">
        <v>268</v>
      </c>
    </row>
    <row r="72" spans="1:1">
      <c r="A72" s="4" t="s">
        <v>288</v>
      </c>
    </row>
  </sheetData>
  <phoneticPr fontId="11" type="noConversion"/>
  <pageMargins left="0.75" right="0.75" top="1" bottom="1" header="0.5" footer="0.5"/>
  <pageSetup scale="48"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L104"/>
  <sheetViews>
    <sheetView workbookViewId="0">
      <selection activeCell="O8" sqref="O8"/>
    </sheetView>
  </sheetViews>
  <sheetFormatPr baseColWidth="10" defaultColWidth="8.83203125" defaultRowHeight="12" x14ac:dyDescent="0"/>
  <cols>
    <col min="1" max="1" width="32.33203125" customWidth="1"/>
    <col min="2" max="2" width="7.33203125" customWidth="1"/>
    <col min="3" max="3" width="6.1640625" customWidth="1"/>
    <col min="4" max="4" width="8.33203125" customWidth="1"/>
    <col min="5" max="5" width="10" customWidth="1"/>
    <col min="6" max="6" width="3.1640625" customWidth="1"/>
    <col min="7" max="7" width="0.6640625" hidden="1" customWidth="1"/>
    <col min="10" max="10" width="2.6640625" customWidth="1"/>
    <col min="11" max="11" width="0.1640625" hidden="1" customWidth="1"/>
    <col min="12" max="12" width="6.33203125" customWidth="1"/>
  </cols>
  <sheetData>
    <row r="1" spans="1:12">
      <c r="A1" s="1" t="s">
        <v>161</v>
      </c>
      <c r="I1" s="1"/>
      <c r="J1" s="3"/>
      <c r="L1" s="41"/>
    </row>
    <row r="2" spans="1:12">
      <c r="A2" s="1" t="s">
        <v>239</v>
      </c>
      <c r="G2" s="1"/>
      <c r="K2" s="3"/>
      <c r="L2" s="1"/>
    </row>
    <row r="3" spans="1:12">
      <c r="A3" s="1" t="s">
        <v>287</v>
      </c>
      <c r="G3" s="1"/>
    </row>
    <row r="4" spans="1:12">
      <c r="A4" s="1" t="s">
        <v>296</v>
      </c>
    </row>
    <row r="5" spans="1:12">
      <c r="A5" s="1" t="s">
        <v>297</v>
      </c>
    </row>
    <row r="6" spans="1:12">
      <c r="A6" s="101"/>
      <c r="B6" s="100" t="s">
        <v>2</v>
      </c>
      <c r="C6" s="100" t="s">
        <v>3</v>
      </c>
      <c r="D6" s="100" t="s">
        <v>4</v>
      </c>
      <c r="E6" s="100" t="s">
        <v>5</v>
      </c>
    </row>
    <row r="7" spans="1:12">
      <c r="A7" s="1" t="s">
        <v>6</v>
      </c>
      <c r="B7" s="111"/>
      <c r="C7" s="101" t="s">
        <v>84</v>
      </c>
      <c r="D7" s="101"/>
      <c r="E7" s="101"/>
      <c r="G7" s="1"/>
      <c r="H7" s="3"/>
    </row>
    <row r="8" spans="1:12">
      <c r="A8" t="s">
        <v>162</v>
      </c>
      <c r="B8" s="112">
        <v>1000</v>
      </c>
      <c r="C8" s="101" t="s">
        <v>29</v>
      </c>
      <c r="D8" s="108">
        <v>7</v>
      </c>
      <c r="E8" s="102">
        <f>B8*D8</f>
        <v>7000</v>
      </c>
      <c r="F8" s="4" t="s">
        <v>79</v>
      </c>
      <c r="H8" s="12" t="s">
        <v>105</v>
      </c>
      <c r="I8" s="13"/>
      <c r="J8" s="13"/>
      <c r="K8" s="13"/>
      <c r="L8" s="12">
        <v>12.5</v>
      </c>
    </row>
    <row r="9" spans="1:12">
      <c r="D9" s="21"/>
      <c r="E9" s="102">
        <f>B9*D9</f>
        <v>0</v>
      </c>
      <c r="G9" s="3"/>
      <c r="H9" s="12" t="s">
        <v>106</v>
      </c>
      <c r="I9" s="12"/>
      <c r="J9" s="12"/>
      <c r="K9" s="12"/>
      <c r="L9" s="12">
        <v>10</v>
      </c>
    </row>
    <row r="10" spans="1:12" ht="15" customHeight="1">
      <c r="A10" t="s">
        <v>58</v>
      </c>
      <c r="D10" s="36"/>
      <c r="E10" s="113">
        <f>SUM(E8:E9)</f>
        <v>7000</v>
      </c>
    </row>
    <row r="11" spans="1:12">
      <c r="A11" s="51"/>
      <c r="B11" s="51"/>
      <c r="C11" s="51"/>
      <c r="D11" s="51"/>
      <c r="E11" s="51"/>
    </row>
    <row r="12" spans="1:12" ht="19" customHeight="1">
      <c r="A12" s="1" t="s">
        <v>10</v>
      </c>
      <c r="D12" s="36"/>
    </row>
    <row r="13" spans="1:12">
      <c r="A13" t="s">
        <v>11</v>
      </c>
      <c r="D13" s="36"/>
    </row>
    <row r="14" spans="1:12">
      <c r="A14" s="3" t="s">
        <v>163</v>
      </c>
      <c r="B14" s="31">
        <v>2</v>
      </c>
      <c r="C14" s="3" t="s">
        <v>15</v>
      </c>
      <c r="D14" s="21">
        <v>200</v>
      </c>
      <c r="E14" s="2">
        <f t="shared" ref="E14:E19" si="0">B14*D14</f>
        <v>400</v>
      </c>
      <c r="G14" s="3"/>
    </row>
    <row r="15" spans="1:12">
      <c r="A15" t="s">
        <v>61</v>
      </c>
      <c r="B15">
        <v>100</v>
      </c>
      <c r="C15" t="s">
        <v>15</v>
      </c>
      <c r="D15" s="21">
        <v>0.4</v>
      </c>
      <c r="E15" s="2">
        <f t="shared" si="0"/>
        <v>40</v>
      </c>
    </row>
    <row r="16" spans="1:12">
      <c r="A16" t="s">
        <v>93</v>
      </c>
      <c r="B16">
        <v>80</v>
      </c>
      <c r="C16" t="s">
        <v>15</v>
      </c>
      <c r="D16" s="21">
        <v>0.3</v>
      </c>
      <c r="E16" s="2">
        <f t="shared" si="0"/>
        <v>24</v>
      </c>
    </row>
    <row r="17" spans="1:7">
      <c r="A17" s="3" t="s">
        <v>63</v>
      </c>
      <c r="B17" s="31">
        <v>395</v>
      </c>
      <c r="C17" t="s">
        <v>15</v>
      </c>
      <c r="D17" s="21">
        <v>0.45</v>
      </c>
      <c r="E17" s="2">
        <f t="shared" si="0"/>
        <v>177.75</v>
      </c>
      <c r="F17" t="s">
        <v>83</v>
      </c>
      <c r="G17" s="3"/>
    </row>
    <row r="18" spans="1:7">
      <c r="A18" t="s">
        <v>64</v>
      </c>
      <c r="B18">
        <v>1</v>
      </c>
      <c r="C18" t="s">
        <v>19</v>
      </c>
      <c r="D18" s="21">
        <v>191</v>
      </c>
      <c r="E18" s="2">
        <f t="shared" si="0"/>
        <v>191</v>
      </c>
      <c r="F18" s="4" t="s">
        <v>32</v>
      </c>
    </row>
    <row r="19" spans="1:7">
      <c r="A19" t="s">
        <v>65</v>
      </c>
      <c r="B19">
        <v>1</v>
      </c>
      <c r="C19" t="s">
        <v>19</v>
      </c>
      <c r="D19" s="21">
        <v>284</v>
      </c>
      <c r="E19" s="2">
        <f t="shared" si="0"/>
        <v>284</v>
      </c>
      <c r="F19" s="4" t="s">
        <v>32</v>
      </c>
    </row>
    <row r="20" spans="1:7">
      <c r="A20" t="s">
        <v>92</v>
      </c>
      <c r="B20">
        <v>1</v>
      </c>
      <c r="C20" t="s">
        <v>91</v>
      </c>
      <c r="D20" s="21">
        <v>75</v>
      </c>
      <c r="E20" s="2">
        <f>B20*D20</f>
        <v>75</v>
      </c>
    </row>
    <row r="21" spans="1:7">
      <c r="A21" t="s">
        <v>90</v>
      </c>
      <c r="B21">
        <v>1</v>
      </c>
      <c r="C21" t="s">
        <v>19</v>
      </c>
      <c r="D21" s="21">
        <v>12.69</v>
      </c>
      <c r="E21" s="2">
        <f t="shared" ref="E21:E23" si="1">B21*D21</f>
        <v>12.69</v>
      </c>
      <c r="F21" s="4"/>
    </row>
    <row r="22" spans="1:7">
      <c r="A22" t="s">
        <v>21</v>
      </c>
      <c r="B22">
        <v>1</v>
      </c>
      <c r="C22" t="s">
        <v>19</v>
      </c>
      <c r="D22" s="38">
        <v>20.52</v>
      </c>
      <c r="E22" s="2">
        <f t="shared" si="1"/>
        <v>20.52</v>
      </c>
      <c r="F22" s="4" t="s">
        <v>20</v>
      </c>
      <c r="G22" s="3"/>
    </row>
    <row r="23" spans="1:7">
      <c r="A23" t="s">
        <v>22</v>
      </c>
      <c r="B23">
        <v>1</v>
      </c>
      <c r="C23" t="s">
        <v>19</v>
      </c>
      <c r="D23" s="38">
        <v>144.19</v>
      </c>
      <c r="E23" s="2">
        <f t="shared" si="1"/>
        <v>144.19</v>
      </c>
      <c r="F23" s="4" t="s">
        <v>20</v>
      </c>
    </row>
    <row r="24" spans="1:7">
      <c r="A24" t="s">
        <v>66</v>
      </c>
      <c r="B24">
        <v>1</v>
      </c>
      <c r="C24" t="s">
        <v>19</v>
      </c>
      <c r="D24" s="21">
        <v>50</v>
      </c>
      <c r="E24" s="2">
        <f>B24*D24</f>
        <v>50</v>
      </c>
      <c r="F24" s="4" t="s">
        <v>32</v>
      </c>
    </row>
    <row r="25" spans="1:7">
      <c r="A25" t="s">
        <v>67</v>
      </c>
      <c r="B25">
        <v>5</v>
      </c>
      <c r="C25" t="s">
        <v>48</v>
      </c>
      <c r="D25" s="21">
        <f>Hired_Labor</f>
        <v>12.5</v>
      </c>
      <c r="E25" s="2">
        <f>B25*D25</f>
        <v>62.5</v>
      </c>
      <c r="F25" s="4"/>
      <c r="G25" s="3"/>
    </row>
    <row r="26" spans="1:7">
      <c r="A26" t="s">
        <v>23</v>
      </c>
      <c r="B26" s="52">
        <v>1</v>
      </c>
      <c r="C26" s="52" t="s">
        <v>19</v>
      </c>
      <c r="D26" s="69">
        <v>42.36</v>
      </c>
      <c r="E26" s="53">
        <f>B26*D26</f>
        <v>42.36</v>
      </c>
      <c r="F26" s="4" t="s">
        <v>24</v>
      </c>
    </row>
    <row r="27" spans="1:7">
      <c r="A27" s="1" t="s">
        <v>25</v>
      </c>
      <c r="D27" s="36"/>
      <c r="E27" s="6">
        <f>SUM(E14:E26)</f>
        <v>1524.01</v>
      </c>
    </row>
    <row r="28" spans="1:7">
      <c r="D28" s="36"/>
    </row>
    <row r="29" spans="1:7" ht="12" customHeight="1">
      <c r="A29" s="51"/>
      <c r="B29" s="51"/>
      <c r="C29" s="51"/>
      <c r="D29" s="51"/>
      <c r="E29" s="51"/>
    </row>
    <row r="30" spans="1:7" ht="19" customHeight="1">
      <c r="A30" s="1" t="s">
        <v>26</v>
      </c>
      <c r="D30" s="36"/>
    </row>
    <row r="31" spans="1:7">
      <c r="A31" t="s">
        <v>68</v>
      </c>
      <c r="B31">
        <v>18</v>
      </c>
      <c r="C31" t="s">
        <v>69</v>
      </c>
      <c r="D31" s="21">
        <f>Hired_Labor</f>
        <v>12.5</v>
      </c>
      <c r="E31" s="2">
        <f>B31*D31</f>
        <v>225</v>
      </c>
    </row>
    <row r="32" spans="1:7">
      <c r="A32" t="s">
        <v>89</v>
      </c>
      <c r="D32" s="2"/>
    </row>
    <row r="33" spans="1:7">
      <c r="A33" s="3" t="s">
        <v>101</v>
      </c>
      <c r="B33" s="25">
        <f>B8</f>
        <v>1000</v>
      </c>
      <c r="C33" s="3" t="s">
        <v>102</v>
      </c>
      <c r="D33" s="2">
        <f>Hired_Labor/L8</f>
        <v>1</v>
      </c>
      <c r="E33" s="2">
        <f>B33*D33</f>
        <v>1000</v>
      </c>
      <c r="F33" s="4" t="s">
        <v>71</v>
      </c>
      <c r="G33" s="3"/>
    </row>
    <row r="34" spans="1:7">
      <c r="A34" s="3" t="s">
        <v>103</v>
      </c>
      <c r="B34" s="25">
        <f>B8</f>
        <v>1000</v>
      </c>
      <c r="C34" s="3" t="s">
        <v>102</v>
      </c>
      <c r="D34" s="2">
        <f>Hired_Labor/L9</f>
        <v>1.25</v>
      </c>
      <c r="E34" s="2">
        <f>B34*D34</f>
        <v>1250</v>
      </c>
      <c r="F34" s="4" t="s">
        <v>71</v>
      </c>
      <c r="G34" s="3"/>
    </row>
    <row r="35" spans="1:7">
      <c r="A35" s="3" t="s">
        <v>73</v>
      </c>
      <c r="B35" s="25">
        <f>B8</f>
        <v>1000</v>
      </c>
      <c r="C35" s="3" t="s">
        <v>29</v>
      </c>
      <c r="D35" s="2">
        <v>1.1000000000000001</v>
      </c>
      <c r="E35" s="2">
        <f>B35*D35</f>
        <v>1100</v>
      </c>
      <c r="F35" s="4"/>
      <c r="G35" s="3"/>
    </row>
    <row r="36" spans="1:7">
      <c r="A36" t="s">
        <v>34</v>
      </c>
      <c r="B36" s="28">
        <f>Marketing_Pct</f>
        <v>0.1</v>
      </c>
      <c r="C36" t="s">
        <v>35</v>
      </c>
      <c r="D36" s="2"/>
      <c r="E36" s="2">
        <f>B36*E10</f>
        <v>700</v>
      </c>
    </row>
    <row r="37" spans="1:7">
      <c r="A37" t="s">
        <v>85</v>
      </c>
      <c r="B37" s="84">
        <f>B8</f>
        <v>1000</v>
      </c>
      <c r="C37" s="85" t="s">
        <v>29</v>
      </c>
      <c r="D37" s="53">
        <v>0.05</v>
      </c>
      <c r="E37" s="53">
        <f>B37*D37</f>
        <v>50</v>
      </c>
      <c r="F37" s="4" t="s">
        <v>24</v>
      </c>
    </row>
    <row r="39" spans="1:7">
      <c r="A39" s="1" t="s">
        <v>36</v>
      </c>
      <c r="E39" s="6">
        <f>SUM(E31:E37)</f>
        <v>4325</v>
      </c>
    </row>
    <row r="41" spans="1:7">
      <c r="A41" t="s">
        <v>37</v>
      </c>
      <c r="E41" s="5">
        <f>(Interest_Pct*0.5*E27)+(Interest_Pct*0.25*E39)</f>
        <v>110.59529999999999</v>
      </c>
    </row>
    <row r="43" spans="1:7">
      <c r="A43" s="1" t="s">
        <v>38</v>
      </c>
      <c r="B43" s="1"/>
      <c r="C43" s="1"/>
      <c r="D43" s="1"/>
      <c r="E43" s="6">
        <f>SUM(E27+E39+E41)</f>
        <v>5959.6053000000002</v>
      </c>
    </row>
    <row r="45" spans="1:7" ht="6" customHeight="1"/>
    <row r="46" spans="1:7">
      <c r="A46" s="55" t="s">
        <v>39</v>
      </c>
      <c r="B46" s="56"/>
      <c r="C46" s="56"/>
      <c r="D46" s="56"/>
      <c r="E46" s="57">
        <f>E10-E43</f>
        <v>1040.3946999999998</v>
      </c>
    </row>
    <row r="48" spans="1:7" ht="12" customHeight="1">
      <c r="A48" s="51"/>
      <c r="B48" s="51"/>
      <c r="C48" s="51"/>
      <c r="D48" s="51"/>
      <c r="E48" s="51"/>
    </row>
    <row r="49" spans="1:6" ht="19" customHeight="1">
      <c r="A49" s="1" t="s">
        <v>40</v>
      </c>
    </row>
    <row r="50" spans="1:6">
      <c r="A50" t="s">
        <v>41</v>
      </c>
      <c r="E50" s="2">
        <v>59.06</v>
      </c>
      <c r="F50" s="4" t="s">
        <v>24</v>
      </c>
    </row>
    <row r="51" spans="1:6">
      <c r="A51" t="s">
        <v>74</v>
      </c>
      <c r="E51" s="2">
        <v>328.4</v>
      </c>
      <c r="F51" t="s">
        <v>32</v>
      </c>
    </row>
    <row r="52" spans="1:6">
      <c r="A52" t="s">
        <v>42</v>
      </c>
      <c r="E52" s="2">
        <v>5</v>
      </c>
    </row>
    <row r="53" spans="1:6">
      <c r="A53" t="s">
        <v>43</v>
      </c>
      <c r="B53" s="52"/>
      <c r="C53" s="52"/>
      <c r="D53" s="52"/>
      <c r="E53" s="53">
        <f>0.01*E43</f>
        <v>59.596053000000005</v>
      </c>
    </row>
    <row r="55" spans="1:6">
      <c r="A55" s="1" t="s">
        <v>44</v>
      </c>
      <c r="E55" s="10">
        <f>SUM(E50:E54)</f>
        <v>452.05605299999996</v>
      </c>
    </row>
    <row r="57" spans="1:6">
      <c r="A57" s="1" t="s">
        <v>45</v>
      </c>
      <c r="E57" s="6">
        <f>E43+E55</f>
        <v>6411.6613530000004</v>
      </c>
    </row>
    <row r="59" spans="1:6">
      <c r="A59" s="55" t="s">
        <v>46</v>
      </c>
      <c r="B59" s="56"/>
      <c r="C59" s="56"/>
      <c r="D59" s="56"/>
      <c r="E59" s="83">
        <f>E10-E57</f>
        <v>588.33864699999958</v>
      </c>
    </row>
    <row r="61" spans="1:6">
      <c r="A61" t="s">
        <v>75</v>
      </c>
      <c r="B61">
        <v>15</v>
      </c>
      <c r="C61" t="s">
        <v>48</v>
      </c>
      <c r="D61" s="2">
        <f>Operator_Labor</f>
        <v>15</v>
      </c>
      <c r="E61" s="2">
        <f>B61*D61</f>
        <v>225</v>
      </c>
    </row>
    <row r="62" spans="1:6" ht="13" thickBot="1">
      <c r="A62" s="44"/>
      <c r="B62" s="44"/>
      <c r="C62" s="44"/>
      <c r="D62" s="44"/>
      <c r="E62" s="44"/>
    </row>
    <row r="63" spans="1:6" ht="13" thickBot="1">
      <c r="A63" s="58" t="s">
        <v>49</v>
      </c>
      <c r="B63" s="44"/>
      <c r="C63" s="44"/>
      <c r="D63" s="44"/>
      <c r="E63" s="59">
        <f>E59-E61</f>
        <v>363.33864699999958</v>
      </c>
    </row>
    <row r="65" spans="1:1" ht="6.75" customHeight="1"/>
    <row r="66" spans="1:1">
      <c r="A66" s="4" t="s">
        <v>248</v>
      </c>
    </row>
    <row r="67" spans="1:1">
      <c r="A67" s="4" t="s">
        <v>269</v>
      </c>
    </row>
    <row r="68" spans="1:1">
      <c r="A68" s="4" t="s">
        <v>78</v>
      </c>
    </row>
    <row r="69" spans="1:1">
      <c r="A69" s="4" t="s">
        <v>104</v>
      </c>
    </row>
    <row r="70" spans="1:1">
      <c r="A70" s="4" t="s">
        <v>245</v>
      </c>
    </row>
    <row r="71" spans="1:1">
      <c r="A71" s="4" t="s">
        <v>250</v>
      </c>
    </row>
    <row r="72" spans="1:1">
      <c r="A72" s="4" t="s">
        <v>268</v>
      </c>
    </row>
    <row r="73" spans="1:1">
      <c r="A73" s="4" t="s">
        <v>304</v>
      </c>
    </row>
    <row r="102" spans="1:1">
      <c r="A102" s="1"/>
    </row>
    <row r="103" spans="1:1">
      <c r="A103" s="3"/>
    </row>
    <row r="104" spans="1:1">
      <c r="A104" s="3"/>
    </row>
  </sheetData>
  <phoneticPr fontId="11" type="noConversion"/>
  <pageMargins left="0.75" right="0.75" top="1" bottom="1" header="0.5" footer="0.5"/>
  <pageSetup scale="51"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67"/>
  <sheetViews>
    <sheetView workbookViewId="0">
      <selection activeCell="K4" sqref="K4"/>
    </sheetView>
  </sheetViews>
  <sheetFormatPr baseColWidth="10" defaultColWidth="8.83203125" defaultRowHeight="12" x14ac:dyDescent="0"/>
  <cols>
    <col min="1" max="1" width="27" customWidth="1"/>
    <col min="2" max="2" width="6.33203125" customWidth="1"/>
    <col min="3" max="3" width="4.6640625" customWidth="1"/>
    <col min="4" max="4" width="7.5" customWidth="1"/>
    <col min="5" max="5" width="9.6640625" customWidth="1"/>
    <col min="6" max="6" width="2.6640625" customWidth="1"/>
    <col min="7" max="7" width="0.1640625" hidden="1" customWidth="1"/>
    <col min="8" max="8" width="37.83203125" customWidth="1"/>
    <col min="9" max="9" width="5.33203125" customWidth="1"/>
  </cols>
  <sheetData>
    <row r="1" spans="1:10">
      <c r="A1" s="1" t="s">
        <v>164</v>
      </c>
    </row>
    <row r="2" spans="1:10">
      <c r="A2" s="1" t="s">
        <v>239</v>
      </c>
    </row>
    <row r="3" spans="1:10">
      <c r="A3" s="1" t="s">
        <v>287</v>
      </c>
    </row>
    <row r="4" spans="1:10">
      <c r="A4" s="1" t="s">
        <v>305</v>
      </c>
    </row>
    <row r="5" spans="1:10">
      <c r="A5" s="1" t="s">
        <v>297</v>
      </c>
    </row>
    <row r="6" spans="1:10" ht="17" customHeight="1">
      <c r="B6" s="101" t="s">
        <v>2</v>
      </c>
      <c r="C6" s="101" t="s">
        <v>3</v>
      </c>
      <c r="D6" s="101" t="s">
        <v>4</v>
      </c>
      <c r="E6" s="101" t="s">
        <v>5</v>
      </c>
    </row>
    <row r="7" spans="1:10">
      <c r="A7" s="1" t="s">
        <v>6</v>
      </c>
    </row>
    <row r="8" spans="1:10">
      <c r="A8" t="s">
        <v>165</v>
      </c>
      <c r="B8" s="114">
        <v>340</v>
      </c>
      <c r="C8" s="101" t="s">
        <v>166</v>
      </c>
      <c r="D8" s="102">
        <v>9</v>
      </c>
      <c r="E8" s="102">
        <f>B8*D8</f>
        <v>3060</v>
      </c>
      <c r="F8" s="4" t="s">
        <v>79</v>
      </c>
      <c r="H8" s="117" t="s">
        <v>212</v>
      </c>
      <c r="I8" s="12">
        <v>6.25</v>
      </c>
      <c r="J8" s="12" t="s">
        <v>213</v>
      </c>
    </row>
    <row r="9" spans="1:10">
      <c r="H9" s="12"/>
    </row>
    <row r="10" spans="1:10" ht="11" customHeight="1">
      <c r="A10" s="51"/>
      <c r="B10" s="51"/>
      <c r="C10" s="51"/>
      <c r="D10" s="51"/>
      <c r="E10" s="51"/>
    </row>
    <row r="11" spans="1:10" ht="17" customHeight="1">
      <c r="A11" s="1" t="s">
        <v>10</v>
      </c>
    </row>
    <row r="12" spans="1:10">
      <c r="A12" t="s">
        <v>11</v>
      </c>
    </row>
    <row r="13" spans="1:10">
      <c r="A13" t="s">
        <v>16</v>
      </c>
      <c r="B13">
        <v>15</v>
      </c>
      <c r="C13" t="s">
        <v>167</v>
      </c>
      <c r="D13" s="2">
        <v>12</v>
      </c>
      <c r="E13" s="2">
        <f>B13*D13</f>
        <v>180</v>
      </c>
    </row>
    <row r="14" spans="1:10">
      <c r="A14" t="s">
        <v>168</v>
      </c>
      <c r="B14">
        <v>200</v>
      </c>
      <c r="C14" t="s">
        <v>15</v>
      </c>
      <c r="D14" s="2">
        <v>0.4</v>
      </c>
      <c r="E14" s="2">
        <f>B14*D14</f>
        <v>80</v>
      </c>
    </row>
    <row r="15" spans="1:10">
      <c r="A15" t="s">
        <v>169</v>
      </c>
      <c r="B15">
        <v>100</v>
      </c>
      <c r="C15" t="s">
        <v>15</v>
      </c>
      <c r="D15" s="2">
        <v>0.35</v>
      </c>
      <c r="E15" s="2">
        <f>B15*D15</f>
        <v>35</v>
      </c>
    </row>
    <row r="16" spans="1:10">
      <c r="A16" t="s">
        <v>170</v>
      </c>
      <c r="B16">
        <v>1.5</v>
      </c>
      <c r="C16" t="s">
        <v>84</v>
      </c>
      <c r="D16" s="2">
        <v>52</v>
      </c>
      <c r="E16" s="2">
        <f>B16*D16</f>
        <v>78</v>
      </c>
    </row>
    <row r="17" spans="1:7">
      <c r="A17" t="s">
        <v>171</v>
      </c>
      <c r="B17">
        <v>1</v>
      </c>
      <c r="C17" t="s">
        <v>19</v>
      </c>
      <c r="D17" s="2">
        <v>21.33</v>
      </c>
      <c r="E17" s="2">
        <f t="shared" ref="E17:E19" si="0">B17*D17</f>
        <v>21.33</v>
      </c>
      <c r="F17" s="4" t="s">
        <v>20</v>
      </c>
    </row>
    <row r="18" spans="1:7">
      <c r="A18" t="s">
        <v>21</v>
      </c>
      <c r="B18">
        <v>1</v>
      </c>
      <c r="C18" t="s">
        <v>19</v>
      </c>
      <c r="D18" s="2">
        <v>87.5</v>
      </c>
      <c r="E18" s="2">
        <f t="shared" si="0"/>
        <v>87.5</v>
      </c>
      <c r="F18" s="4" t="s">
        <v>20</v>
      </c>
    </row>
    <row r="19" spans="1:7">
      <c r="A19" t="s">
        <v>172</v>
      </c>
      <c r="B19">
        <v>1</v>
      </c>
      <c r="C19" t="s">
        <v>19</v>
      </c>
      <c r="D19" s="2">
        <v>90.5</v>
      </c>
      <c r="E19" s="2">
        <f t="shared" si="0"/>
        <v>90.5</v>
      </c>
      <c r="F19" s="4" t="s">
        <v>20</v>
      </c>
    </row>
    <row r="20" spans="1:7">
      <c r="A20" t="s">
        <v>66</v>
      </c>
      <c r="B20">
        <v>8</v>
      </c>
      <c r="C20" t="s">
        <v>31</v>
      </c>
      <c r="D20" s="2">
        <v>7.5</v>
      </c>
      <c r="E20" s="2">
        <v>80</v>
      </c>
      <c r="F20" s="4" t="s">
        <v>32</v>
      </c>
    </row>
    <row r="21" spans="1:7">
      <c r="A21" t="s">
        <v>23</v>
      </c>
      <c r="B21">
        <v>1</v>
      </c>
      <c r="C21" t="s">
        <v>19</v>
      </c>
      <c r="D21" s="2">
        <v>45.34</v>
      </c>
      <c r="E21" s="2">
        <f>B21*D21</f>
        <v>45.34</v>
      </c>
      <c r="F21" s="4" t="s">
        <v>24</v>
      </c>
    </row>
    <row r="22" spans="1:7">
      <c r="A22" s="1" t="s">
        <v>25</v>
      </c>
      <c r="E22" s="6">
        <f>SUM(E13:E21)</f>
        <v>697.67</v>
      </c>
    </row>
    <row r="24" spans="1:7" ht="13" customHeight="1">
      <c r="A24" s="51"/>
      <c r="B24" s="51"/>
      <c r="C24" s="51"/>
      <c r="D24" s="51"/>
      <c r="E24" s="51"/>
    </row>
    <row r="25" spans="1:7" ht="17" customHeight="1">
      <c r="A25" s="1" t="s">
        <v>26</v>
      </c>
    </row>
    <row r="26" spans="1:7">
      <c r="A26" t="s">
        <v>173</v>
      </c>
      <c r="B26">
        <f>B8</f>
        <v>340</v>
      </c>
      <c r="C26" t="s">
        <v>174</v>
      </c>
      <c r="D26" s="2">
        <v>1.6</v>
      </c>
      <c r="E26" s="2">
        <f>B26*D26</f>
        <v>544</v>
      </c>
    </row>
    <row r="27" spans="1:7">
      <c r="A27" t="s">
        <v>89</v>
      </c>
      <c r="D27" s="2"/>
    </row>
    <row r="28" spans="1:7">
      <c r="A28" t="s">
        <v>139</v>
      </c>
      <c r="B28" s="2">
        <f>Hired_Labor/I8</f>
        <v>2</v>
      </c>
      <c r="C28" t="s">
        <v>166</v>
      </c>
      <c r="D28" s="2"/>
      <c r="E28" s="2">
        <f>B8*B28</f>
        <v>680</v>
      </c>
      <c r="F28" s="4" t="s">
        <v>71</v>
      </c>
    </row>
    <row r="29" spans="1:7">
      <c r="A29" t="s">
        <v>175</v>
      </c>
      <c r="B29" s="42">
        <v>2.5</v>
      </c>
      <c r="C29" t="s">
        <v>31</v>
      </c>
      <c r="D29" s="2">
        <f>Hired_Labor</f>
        <v>12.5</v>
      </c>
      <c r="E29" s="2">
        <f>B29*D29</f>
        <v>31.25</v>
      </c>
      <c r="F29" s="3" t="s">
        <v>71</v>
      </c>
    </row>
    <row r="30" spans="1:7">
      <c r="A30" t="s">
        <v>34</v>
      </c>
      <c r="B30" s="9">
        <f>Marketing_Pct</f>
        <v>0.1</v>
      </c>
      <c r="C30" t="s">
        <v>35</v>
      </c>
      <c r="D30" s="2"/>
      <c r="E30" s="2">
        <f>B30*E8</f>
        <v>306</v>
      </c>
      <c r="G30" s="3"/>
    </row>
    <row r="31" spans="1:7">
      <c r="A31" t="s">
        <v>85</v>
      </c>
      <c r="B31">
        <f>B26</f>
        <v>340</v>
      </c>
      <c r="C31" t="s">
        <v>174</v>
      </c>
      <c r="D31" s="2">
        <v>0.1</v>
      </c>
      <c r="E31" s="2">
        <f>B31*D31</f>
        <v>34</v>
      </c>
    </row>
    <row r="33" spans="1:6">
      <c r="A33" s="1" t="s">
        <v>36</v>
      </c>
      <c r="E33" s="6">
        <f>SUM(E26:E31)</f>
        <v>1595.25</v>
      </c>
    </row>
    <row r="35" spans="1:6">
      <c r="A35" t="s">
        <v>37</v>
      </c>
      <c r="E35" s="5">
        <f>(Interest_Pct*0.5*E22)+(Interest_Pct*0.25*E33)</f>
        <v>44.858850000000004</v>
      </c>
    </row>
    <row r="37" spans="1:6">
      <c r="A37" s="1" t="s">
        <v>38</v>
      </c>
      <c r="B37" s="1"/>
      <c r="C37" s="1"/>
      <c r="D37" s="1"/>
      <c r="E37" s="6">
        <f>SUM(E22+E33+E35)</f>
        <v>2337.7788500000001</v>
      </c>
    </row>
    <row r="39" spans="1:6" ht="6" customHeight="1"/>
    <row r="40" spans="1:6">
      <c r="A40" s="55" t="s">
        <v>39</v>
      </c>
      <c r="B40" s="56"/>
      <c r="C40" s="56"/>
      <c r="D40" s="56"/>
      <c r="E40" s="57">
        <f>E8-E37</f>
        <v>722.22114999999985</v>
      </c>
    </row>
    <row r="42" spans="1:6" ht="13" customHeight="1">
      <c r="A42" s="51"/>
      <c r="B42" s="51"/>
      <c r="C42" s="51"/>
      <c r="D42" s="51"/>
      <c r="E42" s="51"/>
    </row>
    <row r="43" spans="1:6" ht="17" customHeight="1">
      <c r="A43" s="1" t="s">
        <v>40</v>
      </c>
    </row>
    <row r="44" spans="1:6">
      <c r="A44" t="s">
        <v>41</v>
      </c>
      <c r="E44" s="2">
        <v>66.23</v>
      </c>
      <c r="F44" s="4" t="s">
        <v>24</v>
      </c>
    </row>
    <row r="45" spans="1:6">
      <c r="A45" t="s">
        <v>132</v>
      </c>
      <c r="E45" s="2">
        <v>125</v>
      </c>
      <c r="F45" s="4" t="s">
        <v>32</v>
      </c>
    </row>
    <row r="46" spans="1:6">
      <c r="A46" t="s">
        <v>42</v>
      </c>
      <c r="E46" s="2">
        <v>5</v>
      </c>
    </row>
    <row r="47" spans="1:6">
      <c r="A47" t="s">
        <v>43</v>
      </c>
      <c r="E47" s="2">
        <f>0.015*E8</f>
        <v>45.9</v>
      </c>
    </row>
    <row r="49" spans="1:5">
      <c r="A49" s="1" t="s">
        <v>44</v>
      </c>
      <c r="E49" s="10">
        <f>SUM(E44:E48)</f>
        <v>242.13000000000002</v>
      </c>
    </row>
    <row r="51" spans="1:5">
      <c r="A51" s="1" t="s">
        <v>45</v>
      </c>
      <c r="E51" s="6">
        <f>E37+E49</f>
        <v>2579.9088500000003</v>
      </c>
    </row>
    <row r="53" spans="1:5">
      <c r="A53" s="55" t="s">
        <v>46</v>
      </c>
      <c r="B53" s="56"/>
      <c r="C53" s="56"/>
      <c r="D53" s="56"/>
      <c r="E53" s="83">
        <f>E8-E51</f>
        <v>480.09114999999974</v>
      </c>
    </row>
    <row r="55" spans="1:5">
      <c r="A55" t="s">
        <v>47</v>
      </c>
      <c r="B55">
        <v>15</v>
      </c>
      <c r="C55" t="s">
        <v>48</v>
      </c>
      <c r="D55" s="2">
        <f>Operator_Labor</f>
        <v>15</v>
      </c>
      <c r="E55" s="2">
        <f>B55*D55</f>
        <v>225</v>
      </c>
    </row>
    <row r="56" spans="1:5" ht="13" thickBot="1">
      <c r="A56" s="44"/>
      <c r="B56" s="44"/>
      <c r="C56" s="44"/>
      <c r="D56" s="44"/>
      <c r="E56" s="44"/>
    </row>
    <row r="57" spans="1:5" ht="13" thickBot="1">
      <c r="A57" s="58" t="s">
        <v>49</v>
      </c>
      <c r="B57" s="44"/>
      <c r="C57" s="44"/>
      <c r="D57" s="44"/>
      <c r="E57" s="59">
        <f>E53-E55</f>
        <v>255.09114999999974</v>
      </c>
    </row>
    <row r="58" spans="1:5" ht="11" customHeight="1"/>
    <row r="59" spans="1:5" ht="6" hidden="1" customHeight="1"/>
    <row r="60" spans="1:5" hidden="1">
      <c r="A60" s="4"/>
    </row>
    <row r="61" spans="1:5">
      <c r="A61" s="4" t="s">
        <v>266</v>
      </c>
    </row>
    <row r="62" spans="1:5">
      <c r="A62" s="4" t="s">
        <v>257</v>
      </c>
    </row>
    <row r="63" spans="1:5">
      <c r="A63" s="4" t="s">
        <v>116</v>
      </c>
    </row>
    <row r="64" spans="1:5">
      <c r="A64" s="4" t="s">
        <v>110</v>
      </c>
    </row>
    <row r="65" spans="1:1">
      <c r="A65" s="4" t="s">
        <v>270</v>
      </c>
    </row>
    <row r="66" spans="1:1">
      <c r="A66" s="4" t="s">
        <v>176</v>
      </c>
    </row>
    <row r="67" spans="1:1">
      <c r="A67" s="4" t="s">
        <v>288</v>
      </c>
    </row>
  </sheetData>
  <phoneticPr fontId="11" type="noConversion"/>
  <pageMargins left="0.75" right="0.75" top="1" bottom="1" header="0.5" footer="0.5"/>
  <pageSetup scale="60"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68"/>
  <sheetViews>
    <sheetView workbookViewId="0">
      <selection activeCell="K15" sqref="K15"/>
    </sheetView>
  </sheetViews>
  <sheetFormatPr baseColWidth="10" defaultColWidth="8.83203125" defaultRowHeight="12" x14ac:dyDescent="0"/>
  <cols>
    <col min="1" max="1" width="31.33203125" customWidth="1"/>
    <col min="2" max="2" width="8.5" customWidth="1"/>
    <col min="3" max="4" width="8" customWidth="1"/>
    <col min="5" max="5" width="9.6640625" customWidth="1"/>
    <col min="6" max="6" width="3.33203125" customWidth="1"/>
    <col min="7" max="7" width="8.83203125" hidden="1" customWidth="1"/>
    <col min="8" max="8" width="21.33203125" customWidth="1"/>
    <col min="9" max="9" width="5.5" customWidth="1"/>
  </cols>
  <sheetData>
    <row r="1" spans="1:9">
      <c r="A1" s="1" t="s">
        <v>177</v>
      </c>
    </row>
    <row r="2" spans="1:9">
      <c r="A2" s="1" t="s">
        <v>239</v>
      </c>
    </row>
    <row r="3" spans="1:9">
      <c r="A3" s="1" t="s">
        <v>287</v>
      </c>
    </row>
    <row r="4" spans="1:9">
      <c r="A4" s="1" t="s">
        <v>296</v>
      </c>
    </row>
    <row r="5" spans="1:9">
      <c r="A5" s="1" t="s">
        <v>297</v>
      </c>
    </row>
    <row r="6" spans="1:9">
      <c r="A6" s="101"/>
      <c r="B6" s="100" t="s">
        <v>2</v>
      </c>
      <c r="C6" s="100" t="s">
        <v>3</v>
      </c>
      <c r="D6" s="100" t="s">
        <v>4</v>
      </c>
      <c r="E6" s="100" t="s">
        <v>5</v>
      </c>
    </row>
    <row r="7" spans="1:9">
      <c r="A7" s="1" t="s">
        <v>6</v>
      </c>
    </row>
    <row r="8" spans="1:9">
      <c r="A8" t="s">
        <v>178</v>
      </c>
      <c r="B8" s="101">
        <v>275</v>
      </c>
      <c r="C8" s="101" t="s">
        <v>102</v>
      </c>
      <c r="D8" s="102">
        <v>11</v>
      </c>
      <c r="E8" s="102">
        <f>B8*D8</f>
        <v>3025</v>
      </c>
      <c r="F8" s="3" t="s">
        <v>79</v>
      </c>
    </row>
    <row r="9" spans="1:9">
      <c r="A9" t="s">
        <v>179</v>
      </c>
      <c r="B9" s="101">
        <v>150</v>
      </c>
      <c r="C9" s="101" t="s">
        <v>102</v>
      </c>
      <c r="D9" s="102">
        <v>6</v>
      </c>
      <c r="E9" s="102">
        <f>B9*D9</f>
        <v>900</v>
      </c>
      <c r="F9" s="3" t="s">
        <v>79</v>
      </c>
      <c r="H9" s="1" t="s">
        <v>214</v>
      </c>
      <c r="I9">
        <v>17.5</v>
      </c>
    </row>
    <row r="10" spans="1:9">
      <c r="A10" t="s">
        <v>180</v>
      </c>
      <c r="B10" s="114">
        <f>B8+B9</f>
        <v>425</v>
      </c>
      <c r="C10" s="101" t="s">
        <v>29</v>
      </c>
      <c r="D10" s="102"/>
      <c r="E10" s="116">
        <f>E8+E9</f>
        <v>3925</v>
      </c>
      <c r="F10" s="4"/>
    </row>
    <row r="12" spans="1:9">
      <c r="A12" s="51"/>
      <c r="B12" s="51"/>
      <c r="C12" s="51"/>
      <c r="D12" s="51"/>
      <c r="E12" s="51"/>
    </row>
    <row r="13" spans="1:9" ht="16" customHeight="1">
      <c r="A13" s="1" t="s">
        <v>10</v>
      </c>
    </row>
    <row r="14" spans="1:9">
      <c r="A14" t="s">
        <v>11</v>
      </c>
    </row>
    <row r="15" spans="1:9">
      <c r="A15" t="s">
        <v>12</v>
      </c>
      <c r="B15">
        <v>0.5</v>
      </c>
      <c r="C15" t="s">
        <v>13</v>
      </c>
      <c r="D15" s="2">
        <v>20</v>
      </c>
      <c r="E15" s="2">
        <f>B15*D15</f>
        <v>10</v>
      </c>
    </row>
    <row r="16" spans="1:9">
      <c r="A16" t="s">
        <v>14</v>
      </c>
      <c r="B16">
        <v>10</v>
      </c>
      <c r="C16" t="s">
        <v>84</v>
      </c>
      <c r="D16" s="2">
        <v>35</v>
      </c>
      <c r="E16" s="2">
        <f>B16*D16</f>
        <v>350</v>
      </c>
    </row>
    <row r="17" spans="1:7">
      <c r="A17" t="s">
        <v>271</v>
      </c>
      <c r="B17">
        <v>13.4</v>
      </c>
      <c r="C17" t="s">
        <v>60</v>
      </c>
      <c r="D17" s="2">
        <v>60</v>
      </c>
      <c r="E17" s="2">
        <f>B17*D17</f>
        <v>804</v>
      </c>
    </row>
    <row r="18" spans="1:7">
      <c r="A18" t="s">
        <v>181</v>
      </c>
      <c r="B18">
        <v>50</v>
      </c>
      <c r="C18" t="s">
        <v>15</v>
      </c>
      <c r="D18" s="2">
        <v>1.5</v>
      </c>
      <c r="E18" s="2">
        <f>B18*D18</f>
        <v>75</v>
      </c>
    </row>
    <row r="19" spans="1:7">
      <c r="A19" t="s">
        <v>119</v>
      </c>
      <c r="B19">
        <v>10</v>
      </c>
      <c r="C19" t="s">
        <v>31</v>
      </c>
      <c r="D19" s="2">
        <v>12.5</v>
      </c>
      <c r="E19" s="2">
        <f>B19*D19</f>
        <v>125</v>
      </c>
      <c r="G19" s="3"/>
    </row>
    <row r="20" spans="1:7">
      <c r="A20" t="s">
        <v>18</v>
      </c>
      <c r="B20">
        <v>1</v>
      </c>
      <c r="C20" t="s">
        <v>19</v>
      </c>
      <c r="D20" s="2">
        <v>31.7</v>
      </c>
      <c r="E20" s="2">
        <f t="shared" ref="E20:E22" si="0">B20*D20</f>
        <v>31.7</v>
      </c>
      <c r="F20" s="4" t="s">
        <v>20</v>
      </c>
    </row>
    <row r="21" spans="1:7">
      <c r="A21" t="s">
        <v>21</v>
      </c>
      <c r="B21">
        <v>1</v>
      </c>
      <c r="C21" t="s">
        <v>19</v>
      </c>
      <c r="D21" s="2">
        <v>36.14</v>
      </c>
      <c r="E21" s="2">
        <f t="shared" si="0"/>
        <v>36.14</v>
      </c>
      <c r="F21" s="4" t="s">
        <v>20</v>
      </c>
    </row>
    <row r="22" spans="1:7">
      <c r="A22" t="s">
        <v>22</v>
      </c>
      <c r="B22">
        <v>1</v>
      </c>
      <c r="C22" t="s">
        <v>19</v>
      </c>
      <c r="D22" s="2">
        <v>93.4</v>
      </c>
      <c r="E22" s="2">
        <f t="shared" si="0"/>
        <v>93.4</v>
      </c>
      <c r="F22" s="4" t="s">
        <v>20</v>
      </c>
    </row>
    <row r="23" spans="1:7">
      <c r="A23" t="s">
        <v>66</v>
      </c>
      <c r="C23" t="s">
        <v>31</v>
      </c>
      <c r="D23" s="2"/>
      <c r="E23" s="2">
        <f>B23*D23</f>
        <v>0</v>
      </c>
      <c r="F23" s="4" t="s">
        <v>32</v>
      </c>
      <c r="G23" s="3"/>
    </row>
    <row r="24" spans="1:7">
      <c r="A24" t="s">
        <v>23</v>
      </c>
      <c r="B24" s="52">
        <v>1</v>
      </c>
      <c r="C24" s="52" t="s">
        <v>19</v>
      </c>
      <c r="D24" s="53">
        <v>56.9</v>
      </c>
      <c r="E24" s="53">
        <f>B24*D24</f>
        <v>56.9</v>
      </c>
      <c r="F24" s="4" t="s">
        <v>24</v>
      </c>
    </row>
    <row r="25" spans="1:7">
      <c r="A25" s="1" t="s">
        <v>25</v>
      </c>
      <c r="E25" s="6">
        <f>SUM(E15:E24)</f>
        <v>1582.1400000000003</v>
      </c>
    </row>
    <row r="27" spans="1:7">
      <c r="A27" s="51"/>
      <c r="B27" s="51"/>
      <c r="C27" s="51"/>
      <c r="D27" s="51"/>
      <c r="E27" s="51"/>
    </row>
    <row r="28" spans="1:7" ht="16" customHeight="1">
      <c r="A28" s="1" t="s">
        <v>26</v>
      </c>
    </row>
    <row r="29" spans="1:7">
      <c r="A29" t="s">
        <v>27</v>
      </c>
      <c r="B29">
        <v>1</v>
      </c>
      <c r="C29" t="s">
        <v>19</v>
      </c>
      <c r="D29" s="2">
        <v>35</v>
      </c>
      <c r="E29" s="2">
        <f>B29*D29</f>
        <v>35</v>
      </c>
      <c r="F29" s="3" t="s">
        <v>24</v>
      </c>
    </row>
    <row r="30" spans="1:7">
      <c r="A30" t="s">
        <v>28</v>
      </c>
      <c r="B30" s="7">
        <f>B10</f>
        <v>425</v>
      </c>
      <c r="C30" t="s">
        <v>29</v>
      </c>
      <c r="D30" s="2">
        <v>1.4</v>
      </c>
      <c r="E30" s="2">
        <f>B30*D30</f>
        <v>595</v>
      </c>
      <c r="F30" s="4"/>
    </row>
    <row r="31" spans="1:7">
      <c r="A31" t="s">
        <v>148</v>
      </c>
      <c r="B31" s="8">
        <f>B10/I9</f>
        <v>24.285714285714285</v>
      </c>
      <c r="C31" t="s">
        <v>31</v>
      </c>
      <c r="D31" s="2">
        <v>12.5</v>
      </c>
      <c r="E31" s="2">
        <f>B31*D31</f>
        <v>303.57142857142856</v>
      </c>
      <c r="F31" s="4" t="s">
        <v>71</v>
      </c>
    </row>
    <row r="32" spans="1:7">
      <c r="A32" t="s">
        <v>182</v>
      </c>
      <c r="B32" s="7">
        <f>B30</f>
        <v>425</v>
      </c>
      <c r="C32" t="s">
        <v>29</v>
      </c>
      <c r="D32" s="2">
        <v>1.25</v>
      </c>
      <c r="E32" s="2">
        <f>D32*B32</f>
        <v>531.25</v>
      </c>
      <c r="F32" s="4"/>
    </row>
    <row r="33" spans="1:6">
      <c r="A33" t="s">
        <v>34</v>
      </c>
      <c r="B33" s="54">
        <f>Marketing_Pct</f>
        <v>0.1</v>
      </c>
      <c r="C33" s="52" t="s">
        <v>35</v>
      </c>
      <c r="D33" s="53"/>
      <c r="E33" s="53">
        <f>B33*E10</f>
        <v>392.5</v>
      </c>
    </row>
    <row r="35" spans="1:6">
      <c r="A35" s="1" t="s">
        <v>36</v>
      </c>
      <c r="E35" s="6">
        <f>SUM(E29:E33)</f>
        <v>1857.3214285714284</v>
      </c>
    </row>
    <row r="37" spans="1:6">
      <c r="A37" t="s">
        <v>37</v>
      </c>
      <c r="E37" s="5">
        <f>(Interest_Pct*0.5*E25)+(Interest_Pct*0.25*E35)</f>
        <v>75.324021428571427</v>
      </c>
    </row>
    <row r="39" spans="1:6">
      <c r="A39" s="1" t="s">
        <v>38</v>
      </c>
      <c r="B39" s="1"/>
      <c r="C39" s="1"/>
      <c r="D39" s="1"/>
      <c r="E39" s="6">
        <f>SUM(E25+E35+E37)</f>
        <v>3514.7854500000003</v>
      </c>
    </row>
    <row r="42" spans="1:6">
      <c r="A42" s="55" t="s">
        <v>39</v>
      </c>
      <c r="B42" s="56"/>
      <c r="C42" s="56"/>
      <c r="D42" s="56"/>
      <c r="E42" s="57">
        <f>E10-E39</f>
        <v>410.21454999999969</v>
      </c>
    </row>
    <row r="44" spans="1:6">
      <c r="A44" s="51"/>
      <c r="B44" s="51"/>
      <c r="C44" s="51"/>
      <c r="D44" s="51"/>
      <c r="E44" s="51"/>
    </row>
    <row r="45" spans="1:6" ht="16" customHeight="1">
      <c r="A45" s="1" t="s">
        <v>40</v>
      </c>
    </row>
    <row r="46" spans="1:6">
      <c r="A46" t="s">
        <v>41</v>
      </c>
      <c r="E46" s="2">
        <v>125.17</v>
      </c>
      <c r="F46" s="4"/>
    </row>
    <row r="47" spans="1:6">
      <c r="A47" t="s">
        <v>42</v>
      </c>
      <c r="E47" s="2">
        <v>5</v>
      </c>
    </row>
    <row r="48" spans="1:6">
      <c r="A48" t="s">
        <v>43</v>
      </c>
      <c r="B48" s="52"/>
      <c r="C48" s="52"/>
      <c r="D48" s="52"/>
      <c r="E48" s="53">
        <f>0.01*E10</f>
        <v>39.25</v>
      </c>
    </row>
    <row r="51" spans="1:5">
      <c r="A51" s="1" t="s">
        <v>44</v>
      </c>
      <c r="E51" s="10">
        <f>SUM(E46:E50)</f>
        <v>169.42000000000002</v>
      </c>
    </row>
    <row r="53" spans="1:5">
      <c r="A53" s="1" t="s">
        <v>45</v>
      </c>
      <c r="E53" s="6">
        <f>E39+E51</f>
        <v>3684.2054500000004</v>
      </c>
    </row>
    <row r="55" spans="1:5">
      <c r="A55" s="55" t="s">
        <v>46</v>
      </c>
      <c r="B55" s="56"/>
      <c r="C55" s="56"/>
      <c r="D55" s="56"/>
      <c r="E55" s="83">
        <f>E10-E53</f>
        <v>240.79454999999962</v>
      </c>
    </row>
    <row r="57" spans="1:5">
      <c r="A57" t="s">
        <v>47</v>
      </c>
      <c r="B57">
        <v>10</v>
      </c>
      <c r="C57" t="s">
        <v>48</v>
      </c>
      <c r="D57" s="2">
        <f>Operator_Labor</f>
        <v>15</v>
      </c>
      <c r="E57" s="2">
        <f>B57*D57</f>
        <v>150</v>
      </c>
    </row>
    <row r="58" spans="1:5" ht="13" thickBot="1">
      <c r="A58" s="44"/>
      <c r="B58" s="44"/>
      <c r="C58" s="44"/>
      <c r="D58" s="44"/>
      <c r="E58" s="44"/>
    </row>
    <row r="59" spans="1:5" ht="13" thickBot="1">
      <c r="A59" s="58" t="s">
        <v>49</v>
      </c>
      <c r="B59" s="44"/>
      <c r="C59" s="44"/>
      <c r="D59" s="44"/>
      <c r="E59" s="59">
        <f>E55-E57</f>
        <v>90.794549999999617</v>
      </c>
    </row>
    <row r="60" spans="1:5" ht="15" customHeight="1"/>
    <row r="61" spans="1:5" ht="5" hidden="1" customHeight="1"/>
    <row r="62" spans="1:5">
      <c r="A62" s="4" t="s">
        <v>272</v>
      </c>
    </row>
    <row r="63" spans="1:5">
      <c r="A63" s="4" t="s">
        <v>273</v>
      </c>
    </row>
    <row r="64" spans="1:5">
      <c r="A64" s="4" t="s">
        <v>274</v>
      </c>
    </row>
    <row r="65" spans="1:1">
      <c r="A65" s="4" t="s">
        <v>110</v>
      </c>
    </row>
    <row r="66" spans="1:1">
      <c r="A66" s="4" t="s">
        <v>244</v>
      </c>
    </row>
    <row r="67" spans="1:1">
      <c r="A67" s="4" t="s">
        <v>183</v>
      </c>
    </row>
    <row r="68" spans="1:1">
      <c r="A68" s="4" t="s">
        <v>288</v>
      </c>
    </row>
  </sheetData>
  <phoneticPr fontId="11" type="noConversion"/>
  <pageMargins left="0.75" right="0.75" top="1" bottom="1" header="0.5" footer="0.5"/>
  <pageSetup scale="6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74"/>
  <sheetViews>
    <sheetView workbookViewId="0">
      <selection activeCell="N7" sqref="N7"/>
    </sheetView>
  </sheetViews>
  <sheetFormatPr baseColWidth="10" defaultColWidth="8.83203125" defaultRowHeight="12" x14ac:dyDescent="0"/>
  <cols>
    <col min="1" max="1" width="31.6640625" customWidth="1"/>
    <col min="2" max="2" width="7.6640625" customWidth="1"/>
    <col min="3" max="3" width="6.1640625" customWidth="1"/>
    <col min="4" max="4" width="9.6640625" customWidth="1"/>
    <col min="5" max="5" width="11.1640625" customWidth="1"/>
    <col min="6" max="6" width="3.1640625" customWidth="1"/>
    <col min="7" max="7" width="8.83203125" hidden="1" customWidth="1"/>
    <col min="8" max="8" width="19.1640625" customWidth="1"/>
    <col min="9" max="9" width="5.1640625" customWidth="1"/>
  </cols>
  <sheetData>
    <row r="1" spans="1:10">
      <c r="A1" s="1" t="s">
        <v>184</v>
      </c>
    </row>
    <row r="2" spans="1:10">
      <c r="A2" s="1" t="s">
        <v>185</v>
      </c>
    </row>
    <row r="3" spans="1:10">
      <c r="A3" s="1" t="s">
        <v>287</v>
      </c>
    </row>
    <row r="4" spans="1:10">
      <c r="A4" s="1" t="s">
        <v>296</v>
      </c>
    </row>
    <row r="5" spans="1:10">
      <c r="A5" s="1" t="s">
        <v>297</v>
      </c>
    </row>
    <row r="6" spans="1:10">
      <c r="B6" s="100" t="s">
        <v>2</v>
      </c>
      <c r="C6" s="100" t="s">
        <v>3</v>
      </c>
      <c r="D6" s="100" t="s">
        <v>4</v>
      </c>
      <c r="E6" s="100" t="s">
        <v>5</v>
      </c>
    </row>
    <row r="7" spans="1:10">
      <c r="A7" s="1" t="s">
        <v>6</v>
      </c>
    </row>
    <row r="8" spans="1:10">
      <c r="A8" t="s">
        <v>186</v>
      </c>
      <c r="B8" s="114">
        <v>1600</v>
      </c>
      <c r="C8" s="101" t="s">
        <v>102</v>
      </c>
      <c r="D8" s="102">
        <v>14</v>
      </c>
      <c r="E8" s="102">
        <f>B8*D8</f>
        <v>22400</v>
      </c>
      <c r="F8" s="4" t="s">
        <v>79</v>
      </c>
      <c r="H8" s="1" t="s">
        <v>215</v>
      </c>
      <c r="I8">
        <v>6.75</v>
      </c>
      <c r="J8" s="1" t="s">
        <v>290</v>
      </c>
    </row>
    <row r="10" spans="1:10" ht="15" customHeight="1">
      <c r="A10" s="51"/>
      <c r="B10" s="51"/>
      <c r="C10" s="51"/>
      <c r="D10" s="51"/>
      <c r="E10" s="51"/>
    </row>
    <row r="11" spans="1:10" ht="18" customHeight="1">
      <c r="A11" s="1" t="s">
        <v>10</v>
      </c>
    </row>
    <row r="12" spans="1:10">
      <c r="A12" t="s">
        <v>11</v>
      </c>
    </row>
    <row r="13" spans="1:10">
      <c r="A13" t="s">
        <v>118</v>
      </c>
      <c r="B13">
        <v>4.5</v>
      </c>
      <c r="C13" s="33">
        <v>1000</v>
      </c>
      <c r="D13" s="2">
        <v>200</v>
      </c>
      <c r="E13" s="2">
        <f t="shared" ref="E13:E24" si="0">B13*D13</f>
        <v>900</v>
      </c>
      <c r="H13" s="3"/>
    </row>
    <row r="14" spans="1:10">
      <c r="A14" t="s">
        <v>187</v>
      </c>
      <c r="B14">
        <v>125</v>
      </c>
      <c r="C14" t="s">
        <v>69</v>
      </c>
      <c r="D14" s="2">
        <f>Hired_Labor</f>
        <v>12.5</v>
      </c>
      <c r="E14" s="2">
        <f t="shared" si="0"/>
        <v>1562.5</v>
      </c>
      <c r="H14" s="3"/>
    </row>
    <row r="15" spans="1:10">
      <c r="A15" s="3" t="s">
        <v>120</v>
      </c>
      <c r="B15">
        <v>100</v>
      </c>
      <c r="C15" s="3" t="s">
        <v>15</v>
      </c>
      <c r="D15" s="2">
        <v>0.4</v>
      </c>
      <c r="E15" s="2">
        <f t="shared" si="0"/>
        <v>40</v>
      </c>
    </row>
    <row r="16" spans="1:10">
      <c r="A16" s="3" t="s">
        <v>121</v>
      </c>
      <c r="B16">
        <v>9</v>
      </c>
      <c r="C16" s="3" t="s">
        <v>15</v>
      </c>
      <c r="D16" s="2">
        <v>3</v>
      </c>
      <c r="E16" s="2">
        <f t="shared" si="0"/>
        <v>27</v>
      </c>
      <c r="H16" s="3"/>
    </row>
    <row r="17" spans="1:8">
      <c r="A17" s="3" t="s">
        <v>122</v>
      </c>
      <c r="B17">
        <v>520</v>
      </c>
      <c r="C17" s="3" t="s">
        <v>15</v>
      </c>
      <c r="D17" s="2">
        <v>0.45</v>
      </c>
      <c r="E17" s="2">
        <f t="shared" si="0"/>
        <v>234</v>
      </c>
      <c r="F17" t="s">
        <v>123</v>
      </c>
      <c r="H17" s="3"/>
    </row>
    <row r="18" spans="1:8">
      <c r="A18" t="s">
        <v>124</v>
      </c>
      <c r="B18">
        <v>1</v>
      </c>
      <c r="C18" t="s">
        <v>19</v>
      </c>
      <c r="D18" s="2">
        <v>515</v>
      </c>
      <c r="E18" s="2">
        <f t="shared" si="0"/>
        <v>515</v>
      </c>
      <c r="F18" s="4" t="s">
        <v>20</v>
      </c>
      <c r="H18" s="3"/>
    </row>
    <row r="19" spans="1:8">
      <c r="A19" t="s">
        <v>188</v>
      </c>
      <c r="B19">
        <v>1</v>
      </c>
      <c r="C19" t="s">
        <v>19</v>
      </c>
      <c r="D19" s="2">
        <v>1775</v>
      </c>
      <c r="E19" s="2">
        <f t="shared" si="0"/>
        <v>1775</v>
      </c>
      <c r="F19" s="4" t="s">
        <v>32</v>
      </c>
      <c r="H19" s="3"/>
    </row>
    <row r="20" spans="1:8">
      <c r="A20" t="s">
        <v>189</v>
      </c>
      <c r="B20">
        <v>1</v>
      </c>
      <c r="C20" t="s">
        <v>19</v>
      </c>
      <c r="D20" s="2">
        <v>38.92</v>
      </c>
      <c r="E20" s="2">
        <f t="shared" si="0"/>
        <v>38.92</v>
      </c>
      <c r="F20" s="4" t="s">
        <v>24</v>
      </c>
    </row>
    <row r="21" spans="1:8">
      <c r="A21" t="s">
        <v>21</v>
      </c>
      <c r="B21">
        <v>1</v>
      </c>
      <c r="C21" s="3" t="s">
        <v>19</v>
      </c>
      <c r="D21" s="2">
        <v>104.08</v>
      </c>
      <c r="E21" s="2">
        <f t="shared" si="0"/>
        <v>104.08</v>
      </c>
      <c r="F21" s="4" t="s">
        <v>24</v>
      </c>
    </row>
    <row r="22" spans="1:8">
      <c r="A22" t="s">
        <v>22</v>
      </c>
      <c r="B22">
        <v>1</v>
      </c>
      <c r="C22" s="3" t="s">
        <v>19</v>
      </c>
      <c r="D22" s="2">
        <v>517.91999999999996</v>
      </c>
      <c r="E22" s="2">
        <f t="shared" si="0"/>
        <v>517.91999999999996</v>
      </c>
      <c r="F22" s="4" t="s">
        <v>24</v>
      </c>
    </row>
    <row r="23" spans="1:8">
      <c r="A23" t="s">
        <v>66</v>
      </c>
      <c r="B23">
        <v>90</v>
      </c>
      <c r="C23" t="s">
        <v>48</v>
      </c>
      <c r="D23" s="2">
        <v>0.4</v>
      </c>
      <c r="E23" s="2">
        <f t="shared" si="0"/>
        <v>36</v>
      </c>
      <c r="F23" s="4" t="s">
        <v>32</v>
      </c>
    </row>
    <row r="24" spans="1:8">
      <c r="A24" t="s">
        <v>23</v>
      </c>
      <c r="B24" s="52">
        <v>1</v>
      </c>
      <c r="C24" s="52" t="s">
        <v>19</v>
      </c>
      <c r="D24" s="53">
        <v>46.23</v>
      </c>
      <c r="E24" s="53">
        <f t="shared" si="0"/>
        <v>46.23</v>
      </c>
      <c r="F24" s="4" t="s">
        <v>71</v>
      </c>
    </row>
    <row r="25" spans="1:8">
      <c r="A25" s="1" t="s">
        <v>25</v>
      </c>
      <c r="E25" s="6">
        <f>SUM(E13:E24)</f>
        <v>5796.65</v>
      </c>
    </row>
    <row r="27" spans="1:8" ht="14" customHeight="1">
      <c r="A27" s="51"/>
      <c r="B27" s="51"/>
      <c r="C27" s="51"/>
      <c r="D27" s="51"/>
      <c r="E27" s="51"/>
    </row>
    <row r="28" spans="1:8" ht="18" customHeight="1">
      <c r="A28" s="1" t="s">
        <v>26</v>
      </c>
    </row>
    <row r="29" spans="1:8">
      <c r="A29" t="s">
        <v>73</v>
      </c>
      <c r="B29">
        <f>B8</f>
        <v>1600</v>
      </c>
      <c r="C29" t="s">
        <v>29</v>
      </c>
      <c r="D29" s="2">
        <v>1.25</v>
      </c>
      <c r="E29" s="2">
        <f>B29*D29</f>
        <v>2000</v>
      </c>
    </row>
    <row r="30" spans="1:8">
      <c r="A30" t="s">
        <v>125</v>
      </c>
      <c r="B30">
        <v>20</v>
      </c>
      <c r="C30" t="s">
        <v>126</v>
      </c>
      <c r="D30" s="2">
        <v>8</v>
      </c>
      <c r="E30" s="2">
        <f>B30*D30</f>
        <v>160</v>
      </c>
    </row>
    <row r="31" spans="1:8">
      <c r="A31" t="s">
        <v>68</v>
      </c>
      <c r="B31">
        <v>18</v>
      </c>
      <c r="C31" t="s">
        <v>69</v>
      </c>
      <c r="D31" s="2">
        <f>Hired_Labor</f>
        <v>12.5</v>
      </c>
      <c r="E31" s="2">
        <f>B31*D31</f>
        <v>225</v>
      </c>
    </row>
    <row r="32" spans="1:8">
      <c r="A32" t="s">
        <v>89</v>
      </c>
      <c r="D32" s="43"/>
    </row>
    <row r="33" spans="1:6">
      <c r="A33" t="s">
        <v>101</v>
      </c>
      <c r="B33" s="2">
        <f>Hired_Labor/I8</f>
        <v>1.8518518518518519</v>
      </c>
      <c r="C33" t="s">
        <v>102</v>
      </c>
      <c r="D33" s="43"/>
      <c r="E33" s="2">
        <f>B8*B33</f>
        <v>2962.962962962963</v>
      </c>
      <c r="F33" s="4" t="s">
        <v>83</v>
      </c>
    </row>
    <row r="34" spans="1:6">
      <c r="A34" t="s">
        <v>129</v>
      </c>
      <c r="B34" s="2">
        <v>0.75</v>
      </c>
      <c r="C34" t="s">
        <v>102</v>
      </c>
      <c r="D34" s="2"/>
      <c r="E34" s="2">
        <f>B8*B34</f>
        <v>1200</v>
      </c>
      <c r="F34" s="4" t="s">
        <v>83</v>
      </c>
    </row>
    <row r="35" spans="1:6">
      <c r="A35" t="s">
        <v>130</v>
      </c>
      <c r="B35" s="9">
        <f>Marketing_Pct</f>
        <v>0.1</v>
      </c>
      <c r="C35" t="s">
        <v>35</v>
      </c>
      <c r="D35" s="2"/>
      <c r="E35" s="2">
        <f>B35*E8</f>
        <v>2240</v>
      </c>
    </row>
    <row r="36" spans="1:6">
      <c r="A36" t="s">
        <v>85</v>
      </c>
      <c r="B36" s="52">
        <f>B8</f>
        <v>1600</v>
      </c>
      <c r="C36" s="52" t="s">
        <v>29</v>
      </c>
      <c r="D36" s="53">
        <v>7.0000000000000007E-2</v>
      </c>
      <c r="E36" s="53">
        <f>B36*D36</f>
        <v>112.00000000000001</v>
      </c>
      <c r="F36" s="4" t="s">
        <v>71</v>
      </c>
    </row>
    <row r="38" spans="1:6">
      <c r="A38" s="1" t="s">
        <v>36</v>
      </c>
      <c r="E38" s="6">
        <f>SUM(E29:E36)</f>
        <v>8899.9629629629635</v>
      </c>
    </row>
    <row r="40" spans="1:6">
      <c r="A40" t="s">
        <v>37</v>
      </c>
      <c r="E40" s="5">
        <f>(Interest_Pct*0.5*E25)+(Interest_Pct*0.25*E38)</f>
        <v>307.3989444444444</v>
      </c>
    </row>
    <row r="42" spans="1:6">
      <c r="A42" s="1" t="s">
        <v>38</v>
      </c>
      <c r="B42" s="1"/>
      <c r="C42" s="1"/>
      <c r="D42" s="1"/>
      <c r="E42" s="6">
        <f>SUM(E25+E38+E40)</f>
        <v>15004.011907407408</v>
      </c>
    </row>
    <row r="44" spans="1:6" ht="6.75" customHeight="1"/>
    <row r="45" spans="1:6">
      <c r="A45" s="55" t="s">
        <v>39</v>
      </c>
      <c r="B45" s="56"/>
      <c r="C45" s="56"/>
      <c r="D45" s="56"/>
      <c r="E45" s="57">
        <f>E8-E42</f>
        <v>7395.9880925925918</v>
      </c>
    </row>
    <row r="47" spans="1:6" ht="14" customHeight="1">
      <c r="A47" s="51"/>
      <c r="B47" s="51"/>
      <c r="C47" s="51"/>
      <c r="D47" s="51"/>
      <c r="E47" s="51"/>
    </row>
    <row r="48" spans="1:6" ht="18" customHeight="1">
      <c r="A48" s="1" t="s">
        <v>40</v>
      </c>
    </row>
    <row r="49" spans="1:7">
      <c r="A49" t="s">
        <v>41</v>
      </c>
      <c r="E49" s="2">
        <v>186.16</v>
      </c>
      <c r="F49" s="4" t="s">
        <v>71</v>
      </c>
    </row>
    <row r="50" spans="1:7">
      <c r="A50" t="s">
        <v>131</v>
      </c>
      <c r="E50" s="2">
        <v>160</v>
      </c>
      <c r="F50" s="4"/>
    </row>
    <row r="51" spans="1:7">
      <c r="A51" t="s">
        <v>132</v>
      </c>
      <c r="E51" s="2">
        <v>328.4</v>
      </c>
      <c r="G51" s="3"/>
    </row>
    <row r="52" spans="1:7">
      <c r="A52" t="s">
        <v>42</v>
      </c>
      <c r="B52" s="46"/>
      <c r="C52" s="46"/>
      <c r="D52" s="46"/>
      <c r="E52" s="43">
        <v>5</v>
      </c>
    </row>
    <row r="53" spans="1:7">
      <c r="A53" t="s">
        <v>43</v>
      </c>
      <c r="B53" s="52"/>
      <c r="C53" s="52"/>
      <c r="D53" s="52"/>
      <c r="E53" s="53">
        <f>0.005*E8</f>
        <v>112</v>
      </c>
    </row>
    <row r="55" spans="1:7">
      <c r="A55" s="1" t="s">
        <v>44</v>
      </c>
      <c r="E55" s="10">
        <f>SUM(E49:E54)</f>
        <v>791.56</v>
      </c>
    </row>
    <row r="57" spans="1:7">
      <c r="A57" s="1" t="s">
        <v>45</v>
      </c>
      <c r="E57" s="6">
        <f>E42+E55</f>
        <v>15795.571907407408</v>
      </c>
    </row>
    <row r="59" spans="1:7">
      <c r="A59" s="55" t="s">
        <v>46</v>
      </c>
      <c r="B59" s="56"/>
      <c r="C59" s="56"/>
      <c r="D59" s="56"/>
      <c r="E59" s="83">
        <f>E8-E57</f>
        <v>6604.4280925925923</v>
      </c>
    </row>
    <row r="61" spans="1:7">
      <c r="A61" t="s">
        <v>47</v>
      </c>
      <c r="B61">
        <v>100</v>
      </c>
      <c r="C61" t="s">
        <v>48</v>
      </c>
      <c r="D61" s="2">
        <f>Operator_Labor</f>
        <v>15</v>
      </c>
      <c r="E61" s="2">
        <f>B61*D61</f>
        <v>1500</v>
      </c>
    </row>
    <row r="62" spans="1:7" ht="13" thickBot="1">
      <c r="A62" s="44"/>
      <c r="B62" s="44"/>
      <c r="C62" s="44"/>
      <c r="D62" s="44"/>
      <c r="E62" s="44"/>
    </row>
    <row r="63" spans="1:7" ht="13" thickBot="1">
      <c r="A63" s="58" t="s">
        <v>49</v>
      </c>
      <c r="B63" s="44"/>
      <c r="C63" s="44"/>
      <c r="D63" s="44"/>
      <c r="E63" s="59">
        <f>E59-E61</f>
        <v>5104.4280925925923</v>
      </c>
    </row>
    <row r="65" spans="1:1" ht="6" customHeight="1"/>
    <row r="66" spans="1:1">
      <c r="A66" s="4" t="s">
        <v>134</v>
      </c>
    </row>
    <row r="67" spans="1:1">
      <c r="A67" s="4" t="s">
        <v>275</v>
      </c>
    </row>
    <row r="68" spans="1:1">
      <c r="A68" s="4" t="s">
        <v>276</v>
      </c>
    </row>
    <row r="69" spans="1:1">
      <c r="A69" s="4" t="s">
        <v>277</v>
      </c>
    </row>
    <row r="70" spans="1:1">
      <c r="A70" s="4" t="s">
        <v>262</v>
      </c>
    </row>
    <row r="71" spans="1:1">
      <c r="A71" s="4" t="s">
        <v>263</v>
      </c>
    </row>
    <row r="72" spans="1:1">
      <c r="A72" s="4" t="s">
        <v>190</v>
      </c>
    </row>
    <row r="73" spans="1:1">
      <c r="A73" s="4" t="s">
        <v>293</v>
      </c>
    </row>
    <row r="74" spans="1:1">
      <c r="A74" s="4" t="s">
        <v>289</v>
      </c>
    </row>
  </sheetData>
  <phoneticPr fontId="11" type="noConversion"/>
  <pageMargins left="0.75" right="0.75" top="1" bottom="1" header="0.5" footer="0.5"/>
  <pageSetup scale="55"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L104"/>
  <sheetViews>
    <sheetView workbookViewId="0">
      <selection activeCell="L2" sqref="L2"/>
    </sheetView>
  </sheetViews>
  <sheetFormatPr baseColWidth="10" defaultColWidth="8.83203125" defaultRowHeight="12" x14ac:dyDescent="0"/>
  <cols>
    <col min="1" max="1" width="35.6640625" customWidth="1"/>
    <col min="5" max="5" width="10.5" customWidth="1"/>
    <col min="6" max="6" width="3.1640625" customWidth="1"/>
    <col min="7" max="7" width="8.83203125" hidden="1" customWidth="1"/>
    <col min="8" max="8" width="12.5" customWidth="1"/>
    <col min="9" max="9" width="5.1640625" customWidth="1"/>
    <col min="10" max="10" width="8" customWidth="1"/>
    <col min="11" max="11" width="4.5" customWidth="1"/>
  </cols>
  <sheetData>
    <row r="1" spans="1:12">
      <c r="A1" s="1" t="s">
        <v>191</v>
      </c>
      <c r="I1" s="1"/>
      <c r="J1" s="3"/>
      <c r="L1" s="41"/>
    </row>
    <row r="2" spans="1:12">
      <c r="A2" s="1" t="s">
        <v>239</v>
      </c>
      <c r="G2" s="1"/>
      <c r="K2" s="3"/>
      <c r="L2" s="1"/>
    </row>
    <row r="3" spans="1:12">
      <c r="A3" s="1" t="s">
        <v>287</v>
      </c>
      <c r="G3" s="1"/>
    </row>
    <row r="4" spans="1:12">
      <c r="A4" s="1" t="s">
        <v>296</v>
      </c>
    </row>
    <row r="5" spans="1:12">
      <c r="A5" s="1" t="s">
        <v>297</v>
      </c>
    </row>
    <row r="6" spans="1:12">
      <c r="A6" s="101"/>
      <c r="B6" s="100" t="s">
        <v>2</v>
      </c>
      <c r="C6" s="100" t="s">
        <v>3</v>
      </c>
      <c r="D6" s="100" t="s">
        <v>4</v>
      </c>
      <c r="E6" s="100" t="s">
        <v>5</v>
      </c>
    </row>
    <row r="7" spans="1:12">
      <c r="A7" s="1" t="s">
        <v>6</v>
      </c>
      <c r="B7" s="111">
        <v>450</v>
      </c>
      <c r="C7" s="101" t="s">
        <v>84</v>
      </c>
      <c r="D7" s="101"/>
      <c r="E7" s="101"/>
      <c r="G7" s="1"/>
      <c r="H7" s="3"/>
    </row>
    <row r="8" spans="1:12">
      <c r="A8" t="s">
        <v>192</v>
      </c>
      <c r="B8" s="112">
        <f>ROUNDUP(B7*100/15/45,0)</f>
        <v>67</v>
      </c>
      <c r="C8" s="101" t="s">
        <v>86</v>
      </c>
      <c r="D8" s="108">
        <v>115</v>
      </c>
      <c r="E8" s="102">
        <f>B8*D8</f>
        <v>7705</v>
      </c>
      <c r="F8" s="4" t="s">
        <v>79</v>
      </c>
      <c r="H8" s="1" t="s">
        <v>217</v>
      </c>
      <c r="I8" s="1">
        <v>4.17</v>
      </c>
      <c r="J8" s="1" t="s">
        <v>294</v>
      </c>
    </row>
    <row r="9" spans="1:12">
      <c r="D9" s="2"/>
      <c r="E9" s="102">
        <f>B9*D9</f>
        <v>0</v>
      </c>
    </row>
    <row r="10" spans="1:12" ht="15" customHeight="1">
      <c r="A10" t="s">
        <v>58</v>
      </c>
      <c r="E10" s="113">
        <f>SUM(E8:E9)</f>
        <v>7705</v>
      </c>
    </row>
    <row r="11" spans="1:12">
      <c r="A11" s="51"/>
      <c r="B11" s="51"/>
      <c r="C11" s="51"/>
      <c r="D11" s="51"/>
      <c r="E11" s="51"/>
    </row>
    <row r="12" spans="1:12" ht="19" customHeight="1">
      <c r="A12" s="1" t="s">
        <v>10</v>
      </c>
    </row>
    <row r="13" spans="1:12">
      <c r="A13" t="s">
        <v>11</v>
      </c>
    </row>
    <row r="14" spans="1:12">
      <c r="A14" t="s">
        <v>193</v>
      </c>
      <c r="B14" s="31">
        <v>1815</v>
      </c>
      <c r="C14" t="s">
        <v>94</v>
      </c>
      <c r="D14" s="21">
        <v>0.25</v>
      </c>
      <c r="E14" s="2">
        <f t="shared" ref="E14:E20" si="0">B14*D14</f>
        <v>453.75</v>
      </c>
    </row>
    <row r="15" spans="1:12">
      <c r="A15" s="3" t="s">
        <v>194</v>
      </c>
      <c r="B15" s="31">
        <f>B14/2</f>
        <v>907.5</v>
      </c>
      <c r="C15" s="3" t="s">
        <v>94</v>
      </c>
      <c r="D15" s="21">
        <v>0.15</v>
      </c>
      <c r="E15" s="2">
        <f t="shared" si="0"/>
        <v>136.125</v>
      </c>
    </row>
    <row r="16" spans="1:12">
      <c r="A16" t="s">
        <v>61</v>
      </c>
      <c r="B16">
        <v>100</v>
      </c>
      <c r="C16" t="s">
        <v>15</v>
      </c>
      <c r="D16" s="21">
        <v>0.4</v>
      </c>
      <c r="E16" s="2">
        <f t="shared" si="0"/>
        <v>40</v>
      </c>
    </row>
    <row r="17" spans="1:7">
      <c r="A17" t="s">
        <v>93</v>
      </c>
      <c r="B17">
        <v>80</v>
      </c>
      <c r="C17" t="s">
        <v>15</v>
      </c>
      <c r="D17" s="21">
        <v>0.3</v>
      </c>
      <c r="E17" s="2">
        <f t="shared" si="0"/>
        <v>24</v>
      </c>
    </row>
    <row r="18" spans="1:7">
      <c r="A18" s="3" t="s">
        <v>63</v>
      </c>
      <c r="B18" s="31">
        <v>483</v>
      </c>
      <c r="C18" t="s">
        <v>15</v>
      </c>
      <c r="D18" s="21">
        <v>0.45</v>
      </c>
      <c r="E18" s="2">
        <f t="shared" si="0"/>
        <v>217.35</v>
      </c>
      <c r="F18" t="s">
        <v>83</v>
      </c>
      <c r="G18" s="3"/>
    </row>
    <row r="19" spans="1:7">
      <c r="A19" t="s">
        <v>64</v>
      </c>
      <c r="B19">
        <v>1</v>
      </c>
      <c r="C19" t="s">
        <v>19</v>
      </c>
      <c r="D19" s="21">
        <v>191</v>
      </c>
      <c r="E19" s="2">
        <f t="shared" si="0"/>
        <v>191</v>
      </c>
      <c r="F19" s="4" t="s">
        <v>32</v>
      </c>
    </row>
    <row r="20" spans="1:7">
      <c r="A20" t="s">
        <v>65</v>
      </c>
      <c r="B20">
        <v>1</v>
      </c>
      <c r="C20" t="s">
        <v>19</v>
      </c>
      <c r="D20" s="21">
        <v>284</v>
      </c>
      <c r="E20" s="2">
        <f t="shared" si="0"/>
        <v>284</v>
      </c>
      <c r="F20" s="4" t="s">
        <v>32</v>
      </c>
    </row>
    <row r="21" spans="1:7">
      <c r="A21" t="s">
        <v>92</v>
      </c>
      <c r="B21">
        <v>1</v>
      </c>
      <c r="C21" t="s">
        <v>91</v>
      </c>
      <c r="D21" s="21">
        <v>75</v>
      </c>
      <c r="E21" s="2">
        <f>B21*D21</f>
        <v>75</v>
      </c>
    </row>
    <row r="22" spans="1:7">
      <c r="A22" t="s">
        <v>90</v>
      </c>
      <c r="B22">
        <v>1</v>
      </c>
      <c r="C22" t="s">
        <v>19</v>
      </c>
      <c r="D22" s="21">
        <v>12.69</v>
      </c>
      <c r="E22" s="2">
        <f t="shared" ref="E22:E24" si="1">B22*D22</f>
        <v>12.69</v>
      </c>
      <c r="F22" s="4"/>
    </row>
    <row r="23" spans="1:7">
      <c r="A23" t="s">
        <v>21</v>
      </c>
      <c r="B23">
        <v>1</v>
      </c>
      <c r="C23" t="s">
        <v>19</v>
      </c>
      <c r="D23" s="38">
        <v>76.709999999999994</v>
      </c>
      <c r="E23" s="2">
        <f t="shared" si="1"/>
        <v>76.709999999999994</v>
      </c>
      <c r="F23" s="4" t="s">
        <v>20</v>
      </c>
    </row>
    <row r="24" spans="1:7">
      <c r="A24" t="s">
        <v>22</v>
      </c>
      <c r="B24">
        <v>1</v>
      </c>
      <c r="C24" t="s">
        <v>19</v>
      </c>
      <c r="D24" s="38">
        <v>185.97</v>
      </c>
      <c r="E24" s="2">
        <f t="shared" si="1"/>
        <v>185.97</v>
      </c>
      <c r="F24" s="4" t="s">
        <v>20</v>
      </c>
    </row>
    <row r="25" spans="1:7">
      <c r="A25" t="s">
        <v>66</v>
      </c>
      <c r="B25">
        <v>1</v>
      </c>
      <c r="C25" t="s">
        <v>19</v>
      </c>
      <c r="D25" s="21">
        <v>50</v>
      </c>
      <c r="E25" s="2">
        <f>B25*D25</f>
        <v>50</v>
      </c>
      <c r="F25" s="4" t="s">
        <v>32</v>
      </c>
    </row>
    <row r="26" spans="1:7">
      <c r="A26" t="s">
        <v>67</v>
      </c>
      <c r="B26" s="46">
        <v>16</v>
      </c>
      <c r="C26" s="46" t="s">
        <v>48</v>
      </c>
      <c r="D26" s="91">
        <f>Hired_Labor</f>
        <v>12.5</v>
      </c>
      <c r="E26" s="43">
        <f>B26*D26</f>
        <v>200</v>
      </c>
      <c r="F26" s="4"/>
    </row>
    <row r="27" spans="1:7">
      <c r="A27" t="s">
        <v>23</v>
      </c>
      <c r="B27" s="52">
        <v>1</v>
      </c>
      <c r="C27" s="52" t="s">
        <v>19</v>
      </c>
      <c r="D27" s="69">
        <v>43.61</v>
      </c>
      <c r="E27" s="53">
        <f>B27*D27</f>
        <v>43.61</v>
      </c>
      <c r="F27" s="4" t="s">
        <v>24</v>
      </c>
    </row>
    <row r="28" spans="1:7">
      <c r="A28" s="1" t="s">
        <v>25</v>
      </c>
      <c r="D28" s="36"/>
      <c r="E28" s="6">
        <f>SUM(E14:E27)</f>
        <v>1990.2049999999999</v>
      </c>
    </row>
    <row r="29" spans="1:7">
      <c r="D29" s="36"/>
    </row>
    <row r="30" spans="1:7" ht="14" customHeight="1">
      <c r="A30" s="51"/>
      <c r="B30" s="51"/>
      <c r="C30" s="51"/>
      <c r="D30" s="51"/>
      <c r="E30" s="51"/>
    </row>
    <row r="31" spans="1:7" ht="19" customHeight="1">
      <c r="A31" s="1" t="s">
        <v>26</v>
      </c>
      <c r="D31" s="36"/>
    </row>
    <row r="32" spans="1:7">
      <c r="A32" t="s">
        <v>68</v>
      </c>
      <c r="B32">
        <v>10</v>
      </c>
      <c r="C32" t="s">
        <v>69</v>
      </c>
      <c r="D32" s="21">
        <f>Hired_Labor</f>
        <v>12.5</v>
      </c>
      <c r="E32" s="2">
        <f>B32*D32</f>
        <v>125</v>
      </c>
    </row>
    <row r="33" spans="1:7">
      <c r="A33" t="s">
        <v>89</v>
      </c>
      <c r="D33" s="2"/>
    </row>
    <row r="34" spans="1:7">
      <c r="A34" t="s">
        <v>88</v>
      </c>
      <c r="B34" s="2">
        <f>Hired_Labor/I8</f>
        <v>2.9976019184652278</v>
      </c>
      <c r="C34" t="s">
        <v>84</v>
      </c>
      <c r="D34" s="2"/>
      <c r="E34" s="2">
        <f>ROUNDUP(B7*B34,0)</f>
        <v>1349</v>
      </c>
      <c r="F34" s="4" t="s">
        <v>71</v>
      </c>
      <c r="G34" s="3"/>
    </row>
    <row r="35" spans="1:7">
      <c r="A35" t="s">
        <v>195</v>
      </c>
      <c r="B35" s="31">
        <f>B8</f>
        <v>67</v>
      </c>
      <c r="C35" t="s">
        <v>86</v>
      </c>
      <c r="D35" s="2">
        <v>12</v>
      </c>
      <c r="E35" s="2">
        <f>B35*D35</f>
        <v>804</v>
      </c>
      <c r="F35" s="4"/>
      <c r="G35" s="3"/>
    </row>
    <row r="36" spans="1:7">
      <c r="A36" s="3" t="s">
        <v>216</v>
      </c>
      <c r="B36" s="11">
        <f>Marketing_Pct</f>
        <v>0.1</v>
      </c>
      <c r="C36" t="s">
        <v>35</v>
      </c>
      <c r="D36" s="2"/>
      <c r="E36" s="2">
        <f>B36*E10</f>
        <v>770.5</v>
      </c>
    </row>
    <row r="37" spans="1:7">
      <c r="A37" t="s">
        <v>85</v>
      </c>
      <c r="B37" s="52">
        <f>B7</f>
        <v>450</v>
      </c>
      <c r="C37" s="52" t="s">
        <v>84</v>
      </c>
      <c r="D37" s="53">
        <v>0.5</v>
      </c>
      <c r="E37" s="53">
        <f>B37*D37</f>
        <v>225</v>
      </c>
      <c r="F37" s="4" t="s">
        <v>24</v>
      </c>
    </row>
    <row r="39" spans="1:7">
      <c r="A39" s="1" t="s">
        <v>36</v>
      </c>
      <c r="E39" s="6">
        <f>SUM(E32:E37)</f>
        <v>3273.5</v>
      </c>
    </row>
    <row r="41" spans="1:7">
      <c r="A41" t="s">
        <v>37</v>
      </c>
      <c r="E41" s="5">
        <f>(Interest_Pct*0.5*E28)+(Interest_Pct*0.25*E39)</f>
        <v>108.80865</v>
      </c>
    </row>
    <row r="43" spans="1:7">
      <c r="A43" s="1" t="s">
        <v>38</v>
      </c>
      <c r="B43" s="1"/>
      <c r="C43" s="1"/>
      <c r="D43" s="1"/>
      <c r="E43" s="6">
        <f>SUM(E28+E39+E41)</f>
        <v>5372.5136499999999</v>
      </c>
    </row>
    <row r="45" spans="1:7" ht="6" customHeight="1"/>
    <row r="46" spans="1:7">
      <c r="A46" s="55" t="s">
        <v>39</v>
      </c>
      <c r="B46" s="56"/>
      <c r="C46" s="56"/>
      <c r="D46" s="56"/>
      <c r="E46" s="57">
        <f>E10-E43</f>
        <v>2332.4863500000001</v>
      </c>
    </row>
    <row r="48" spans="1:7" ht="15" customHeight="1">
      <c r="A48" s="51"/>
      <c r="B48" s="51"/>
      <c r="C48" s="51"/>
      <c r="D48" s="51"/>
      <c r="E48" s="51"/>
    </row>
    <row r="49" spans="1:6" ht="20" customHeight="1">
      <c r="A49" s="1" t="s">
        <v>40</v>
      </c>
    </row>
    <row r="50" spans="1:6">
      <c r="A50" t="s">
        <v>41</v>
      </c>
      <c r="E50" s="2">
        <v>74.489999999999995</v>
      </c>
      <c r="F50" s="4" t="s">
        <v>24</v>
      </c>
    </row>
    <row r="51" spans="1:6">
      <c r="A51" t="s">
        <v>74</v>
      </c>
      <c r="E51" s="2">
        <v>328.4</v>
      </c>
      <c r="F51" t="s">
        <v>32</v>
      </c>
    </row>
    <row r="52" spans="1:6">
      <c r="A52" t="s">
        <v>42</v>
      </c>
      <c r="E52" s="2">
        <v>5</v>
      </c>
    </row>
    <row r="53" spans="1:6">
      <c r="A53" t="s">
        <v>43</v>
      </c>
      <c r="B53" s="52"/>
      <c r="C53" s="52"/>
      <c r="D53" s="52"/>
      <c r="E53" s="53">
        <f>0.01*E43</f>
        <v>53.725136499999998</v>
      </c>
    </row>
    <row r="55" spans="1:6">
      <c r="A55" s="1" t="s">
        <v>44</v>
      </c>
      <c r="E55" s="10">
        <f>SUM(E50:E54)</f>
        <v>461.61513650000001</v>
      </c>
    </row>
    <row r="57" spans="1:6">
      <c r="A57" s="1" t="s">
        <v>45</v>
      </c>
      <c r="E57" s="6">
        <f>E43+E55</f>
        <v>5834.1287864999995</v>
      </c>
    </row>
    <row r="59" spans="1:6">
      <c r="A59" s="55" t="s">
        <v>46</v>
      </c>
      <c r="B59" s="56"/>
      <c r="C59" s="56"/>
      <c r="D59" s="56"/>
      <c r="E59" s="83">
        <f>E10-E57</f>
        <v>1870.8712135000005</v>
      </c>
    </row>
    <row r="61" spans="1:6">
      <c r="A61" t="s">
        <v>75</v>
      </c>
      <c r="B61">
        <v>15</v>
      </c>
      <c r="C61" t="s">
        <v>48</v>
      </c>
      <c r="D61" s="2">
        <f>Operator_Labor</f>
        <v>15</v>
      </c>
      <c r="E61" s="2">
        <f>B61*D61</f>
        <v>225</v>
      </c>
    </row>
    <row r="62" spans="1:6" ht="13" thickBot="1">
      <c r="A62" s="44"/>
      <c r="B62" s="44"/>
      <c r="C62" s="44"/>
      <c r="D62" s="44"/>
      <c r="E62" s="44"/>
    </row>
    <row r="63" spans="1:6" ht="13" thickBot="1">
      <c r="A63" s="58" t="s">
        <v>49</v>
      </c>
      <c r="B63" s="44"/>
      <c r="C63" s="44"/>
      <c r="D63" s="44"/>
      <c r="E63" s="59">
        <f>E59-E61</f>
        <v>1645.8712135000005</v>
      </c>
    </row>
    <row r="65" spans="1:1" ht="6.75" hidden="1" customHeight="1"/>
    <row r="66" spans="1:1">
      <c r="A66" s="4" t="s">
        <v>278</v>
      </c>
    </row>
    <row r="67" spans="1:1">
      <c r="A67" s="4" t="s">
        <v>249</v>
      </c>
    </row>
    <row r="68" spans="1:1">
      <c r="A68" s="4" t="s">
        <v>78</v>
      </c>
    </row>
    <row r="69" spans="1:1">
      <c r="A69" s="4" t="s">
        <v>110</v>
      </c>
    </row>
    <row r="70" spans="1:1">
      <c r="A70" s="4" t="s">
        <v>279</v>
      </c>
    </row>
    <row r="71" spans="1:1">
      <c r="A71" s="4" t="s">
        <v>250</v>
      </c>
    </row>
    <row r="72" spans="1:1">
      <c r="A72" s="4" t="s">
        <v>280</v>
      </c>
    </row>
    <row r="73" spans="1:1">
      <c r="A73" s="4" t="s">
        <v>289</v>
      </c>
    </row>
    <row r="102" spans="1:1">
      <c r="A102" s="1"/>
    </row>
    <row r="103" spans="1:1">
      <c r="A103" s="3"/>
    </row>
    <row r="104" spans="1:1">
      <c r="A104" s="3"/>
    </row>
  </sheetData>
  <phoneticPr fontId="11" type="noConversion"/>
  <pageMargins left="0.75" right="0.75" top="1" bottom="1" header="0.5" footer="0.5"/>
  <pageSetup scale="59" orientation="portrait" horizontalDpi="300" verticalDpi="300"/>
  <headerFooter alignWithMargins="0"/>
  <ignoredErrors>
    <ignoredError sqref="E36" formula="1"/>
  </ignoredErrors>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72"/>
  <sheetViews>
    <sheetView workbookViewId="0">
      <selection activeCell="O13" sqref="O13"/>
    </sheetView>
  </sheetViews>
  <sheetFormatPr baseColWidth="10" defaultColWidth="8.83203125" defaultRowHeight="12" x14ac:dyDescent="0"/>
  <cols>
    <col min="1" max="1" width="32.6640625" customWidth="1"/>
    <col min="2" max="2" width="7.33203125" customWidth="1"/>
    <col min="3" max="3" width="5.5" customWidth="1"/>
    <col min="4" max="4" width="8.5" customWidth="1"/>
    <col min="5" max="5" width="9.83203125" customWidth="1"/>
    <col min="6" max="6" width="3.1640625" customWidth="1"/>
    <col min="7" max="7" width="8.83203125" hidden="1" customWidth="1"/>
    <col min="8" max="8" width="12.5" customWidth="1"/>
    <col min="9" max="9" width="4.83203125" customWidth="1"/>
    <col min="10" max="10" width="7.33203125" customWidth="1"/>
    <col min="11" max="11" width="4.1640625" customWidth="1"/>
  </cols>
  <sheetData>
    <row r="1" spans="1:10">
      <c r="A1" s="1" t="s">
        <v>196</v>
      </c>
    </row>
    <row r="2" spans="1:10">
      <c r="A2" s="1" t="s">
        <v>1</v>
      </c>
    </row>
    <row r="3" spans="1:10">
      <c r="A3" s="1" t="s">
        <v>295</v>
      </c>
    </row>
    <row r="4" spans="1:10">
      <c r="A4" s="1" t="s">
        <v>296</v>
      </c>
    </row>
    <row r="5" spans="1:10">
      <c r="A5" s="1" t="s">
        <v>306</v>
      </c>
    </row>
    <row r="6" spans="1:10">
      <c r="B6" s="100" t="s">
        <v>2</v>
      </c>
      <c r="C6" s="100" t="s">
        <v>3</v>
      </c>
      <c r="D6" s="100" t="s">
        <v>4</v>
      </c>
      <c r="E6" s="100" t="s">
        <v>5</v>
      </c>
    </row>
    <row r="7" spans="1:10">
      <c r="A7" s="1" t="s">
        <v>6</v>
      </c>
      <c r="B7" s="114">
        <v>400</v>
      </c>
      <c r="C7" s="101" t="s">
        <v>84</v>
      </c>
      <c r="D7" s="101"/>
      <c r="E7" s="101"/>
    </row>
    <row r="8" spans="1:10">
      <c r="A8" t="s">
        <v>197</v>
      </c>
      <c r="B8" s="112">
        <f>ROUNDUP(B7*100/15/45,0)</f>
        <v>60</v>
      </c>
      <c r="C8" s="101" t="s">
        <v>86</v>
      </c>
      <c r="D8" s="102">
        <v>90</v>
      </c>
      <c r="E8" s="102">
        <f>B8*D8</f>
        <v>5400</v>
      </c>
      <c r="F8" s="4" t="s">
        <v>79</v>
      </c>
      <c r="H8" s="1" t="s">
        <v>217</v>
      </c>
      <c r="I8" s="1">
        <v>4.17</v>
      </c>
      <c r="J8" s="1" t="s">
        <v>294</v>
      </c>
    </row>
    <row r="9" spans="1:10">
      <c r="B9" s="101"/>
      <c r="C9" s="101"/>
      <c r="D9" s="102"/>
      <c r="E9" s="102">
        <f>B9*D9</f>
        <v>0</v>
      </c>
    </row>
    <row r="10" spans="1:10" ht="15" customHeight="1">
      <c r="A10" t="s">
        <v>58</v>
      </c>
      <c r="B10" s="101"/>
      <c r="C10" s="101"/>
      <c r="D10" s="101"/>
      <c r="E10" s="113">
        <f>SUM(E8:E9)</f>
        <v>5400</v>
      </c>
    </row>
    <row r="11" spans="1:10" ht="17" customHeight="1">
      <c r="A11" s="51"/>
      <c r="B11" s="51"/>
      <c r="C11" s="51"/>
      <c r="D11" s="51"/>
      <c r="E11" s="51"/>
    </row>
    <row r="12" spans="1:10" ht="18" customHeight="1">
      <c r="A12" s="1" t="s">
        <v>10</v>
      </c>
    </row>
    <row r="13" spans="1:10">
      <c r="A13" t="s">
        <v>11</v>
      </c>
      <c r="D13" s="36"/>
    </row>
    <row r="14" spans="1:10">
      <c r="A14" t="s">
        <v>198</v>
      </c>
      <c r="B14" s="31">
        <v>1815</v>
      </c>
      <c r="C14" t="s">
        <v>94</v>
      </c>
      <c r="D14" s="21">
        <v>0.15</v>
      </c>
      <c r="E14" s="2">
        <f t="shared" ref="E14:E23" si="0">B14*D14</f>
        <v>272.25</v>
      </c>
    </row>
    <row r="15" spans="1:10">
      <c r="A15" t="s">
        <v>61</v>
      </c>
      <c r="B15">
        <v>100</v>
      </c>
      <c r="C15" t="s">
        <v>15</v>
      </c>
      <c r="D15" s="21">
        <v>0.4</v>
      </c>
      <c r="E15" s="2">
        <f t="shared" si="0"/>
        <v>40</v>
      </c>
    </row>
    <row r="16" spans="1:10">
      <c r="A16" t="s">
        <v>93</v>
      </c>
      <c r="B16">
        <v>80</v>
      </c>
      <c r="C16" t="s">
        <v>15</v>
      </c>
      <c r="D16" s="21">
        <v>0.3</v>
      </c>
      <c r="E16" s="2">
        <f t="shared" si="0"/>
        <v>24</v>
      </c>
    </row>
    <row r="17" spans="1:6">
      <c r="A17" t="s">
        <v>63</v>
      </c>
      <c r="B17" s="22">
        <v>340</v>
      </c>
      <c r="C17" t="s">
        <v>15</v>
      </c>
      <c r="D17" s="21">
        <v>0.45</v>
      </c>
      <c r="E17" s="2">
        <f t="shared" si="0"/>
        <v>153</v>
      </c>
      <c r="F17" t="s">
        <v>83</v>
      </c>
    </row>
    <row r="18" spans="1:6">
      <c r="A18" t="s">
        <v>64</v>
      </c>
      <c r="B18">
        <v>1</v>
      </c>
      <c r="C18" t="s">
        <v>19</v>
      </c>
      <c r="D18" s="21">
        <v>143</v>
      </c>
      <c r="E18" s="2">
        <f t="shared" si="0"/>
        <v>143</v>
      </c>
      <c r="F18" s="4" t="s">
        <v>32</v>
      </c>
    </row>
    <row r="19" spans="1:6">
      <c r="A19" t="s">
        <v>65</v>
      </c>
      <c r="B19">
        <v>1</v>
      </c>
      <c r="C19" t="s">
        <v>19</v>
      </c>
      <c r="D19" s="21">
        <v>230</v>
      </c>
      <c r="E19" s="2">
        <f t="shared" si="0"/>
        <v>230</v>
      </c>
      <c r="F19" s="4" t="s">
        <v>32</v>
      </c>
    </row>
    <row r="20" spans="1:6">
      <c r="A20" t="s">
        <v>92</v>
      </c>
      <c r="B20">
        <v>1</v>
      </c>
      <c r="C20" t="s">
        <v>91</v>
      </c>
      <c r="D20" s="21">
        <v>75</v>
      </c>
      <c r="E20" s="2">
        <f>B20*D20</f>
        <v>75</v>
      </c>
    </row>
    <row r="21" spans="1:6">
      <c r="A21" t="s">
        <v>90</v>
      </c>
      <c r="B21">
        <v>1</v>
      </c>
      <c r="C21" t="s">
        <v>19</v>
      </c>
      <c r="D21" s="21">
        <v>12.69</v>
      </c>
      <c r="E21" s="2">
        <f t="shared" si="0"/>
        <v>12.69</v>
      </c>
      <c r="F21" s="4"/>
    </row>
    <row r="22" spans="1:6">
      <c r="A22" t="s">
        <v>21</v>
      </c>
      <c r="B22">
        <v>1</v>
      </c>
      <c r="C22" t="s">
        <v>19</v>
      </c>
      <c r="D22" s="38">
        <v>76.709999999999994</v>
      </c>
      <c r="E22" s="2">
        <f t="shared" si="0"/>
        <v>76.709999999999994</v>
      </c>
      <c r="F22" s="4" t="s">
        <v>20</v>
      </c>
    </row>
    <row r="23" spans="1:6">
      <c r="A23" t="s">
        <v>22</v>
      </c>
      <c r="B23">
        <v>1</v>
      </c>
      <c r="C23" t="s">
        <v>19</v>
      </c>
      <c r="D23" s="38">
        <v>185.97</v>
      </c>
      <c r="E23" s="2">
        <f t="shared" si="0"/>
        <v>185.97</v>
      </c>
      <c r="F23" s="4" t="s">
        <v>20</v>
      </c>
    </row>
    <row r="24" spans="1:6">
      <c r="A24" t="s">
        <v>66</v>
      </c>
      <c r="B24">
        <v>1</v>
      </c>
      <c r="C24" t="s">
        <v>19</v>
      </c>
      <c r="D24" s="21">
        <v>50</v>
      </c>
      <c r="E24" s="2">
        <f>B24*D24</f>
        <v>50</v>
      </c>
      <c r="F24" s="4" t="s">
        <v>32</v>
      </c>
    </row>
    <row r="25" spans="1:6">
      <c r="A25" t="s">
        <v>67</v>
      </c>
      <c r="B25">
        <v>16</v>
      </c>
      <c r="C25" t="s">
        <v>48</v>
      </c>
      <c r="D25" s="21">
        <f>Hired_Labor</f>
        <v>12.5</v>
      </c>
      <c r="E25" s="2">
        <f>B25*D25</f>
        <v>200</v>
      </c>
      <c r="F25" s="4"/>
    </row>
    <row r="26" spans="1:6">
      <c r="A26" t="s">
        <v>23</v>
      </c>
      <c r="B26" s="52">
        <v>1</v>
      </c>
      <c r="C26" s="52" t="s">
        <v>19</v>
      </c>
      <c r="D26" s="69">
        <v>43.61</v>
      </c>
      <c r="E26" s="53">
        <f>B26*D26</f>
        <v>43.61</v>
      </c>
      <c r="F26" s="4" t="s">
        <v>24</v>
      </c>
    </row>
    <row r="27" spans="1:6">
      <c r="A27" s="1" t="s">
        <v>25</v>
      </c>
      <c r="D27" s="36"/>
      <c r="E27" s="6">
        <f>SUM(E14:E26)</f>
        <v>1506.23</v>
      </c>
    </row>
    <row r="29" spans="1:6" ht="16" customHeight="1">
      <c r="A29" s="51"/>
      <c r="B29" s="51"/>
      <c r="C29" s="51"/>
      <c r="D29" s="51"/>
      <c r="E29" s="51"/>
    </row>
    <row r="30" spans="1:6" ht="18" customHeight="1">
      <c r="A30" s="1" t="s">
        <v>26</v>
      </c>
    </row>
    <row r="31" spans="1:6">
      <c r="A31" t="s">
        <v>68</v>
      </c>
      <c r="B31">
        <v>10</v>
      </c>
      <c r="C31" t="s">
        <v>69</v>
      </c>
      <c r="D31" s="2">
        <v>12.5</v>
      </c>
      <c r="E31" s="2">
        <f>B31*D31</f>
        <v>125</v>
      </c>
    </row>
    <row r="32" spans="1:6">
      <c r="A32" t="s">
        <v>89</v>
      </c>
      <c r="D32" s="2"/>
    </row>
    <row r="33" spans="1:6">
      <c r="A33" t="s">
        <v>88</v>
      </c>
      <c r="B33" s="2">
        <f>Hired_Labor/I8</f>
        <v>2.9976019184652278</v>
      </c>
      <c r="C33" t="s">
        <v>84</v>
      </c>
      <c r="D33" s="2"/>
      <c r="E33" s="2">
        <f>B7*B33</f>
        <v>1199.0407673860911</v>
      </c>
      <c r="F33" s="4" t="s">
        <v>71</v>
      </c>
    </row>
    <row r="34" spans="1:6">
      <c r="A34" t="s">
        <v>199</v>
      </c>
      <c r="B34" s="31">
        <f>B8</f>
        <v>60</v>
      </c>
      <c r="C34" t="s">
        <v>86</v>
      </c>
      <c r="D34" s="2">
        <v>12</v>
      </c>
      <c r="E34" s="2">
        <f>B34*D34</f>
        <v>720</v>
      </c>
      <c r="F34" s="4"/>
    </row>
    <row r="35" spans="1:6">
      <c r="A35" t="s">
        <v>34</v>
      </c>
      <c r="B35" s="11">
        <f>Marketing_Pct</f>
        <v>0.1</v>
      </c>
      <c r="C35" t="s">
        <v>35</v>
      </c>
      <c r="D35" s="2"/>
      <c r="E35" s="2">
        <f>B35*E10</f>
        <v>540</v>
      </c>
    </row>
    <row r="36" spans="1:6">
      <c r="A36" t="s">
        <v>85</v>
      </c>
      <c r="B36" s="52">
        <f>B7</f>
        <v>400</v>
      </c>
      <c r="C36" s="52" t="s">
        <v>84</v>
      </c>
      <c r="D36" s="53">
        <v>0.5</v>
      </c>
      <c r="E36" s="53">
        <f>B36*D36</f>
        <v>200</v>
      </c>
      <c r="F36" s="4" t="s">
        <v>24</v>
      </c>
    </row>
    <row r="38" spans="1:6">
      <c r="A38" s="1" t="s">
        <v>36</v>
      </c>
      <c r="E38" s="6">
        <f>SUM(E31:E36)</f>
        <v>2784.0407673860909</v>
      </c>
    </row>
    <row r="40" spans="1:6">
      <c r="A40" t="s">
        <v>37</v>
      </c>
      <c r="E40" s="5">
        <f>(Interest_Pct*0.5*E27)+(Interest_Pct*0.25*E38)</f>
        <v>86.947511510791372</v>
      </c>
    </row>
    <row r="42" spans="1:6">
      <c r="A42" s="1" t="s">
        <v>38</v>
      </c>
      <c r="B42" s="1"/>
      <c r="C42" s="1"/>
      <c r="D42" s="1"/>
      <c r="E42" s="6">
        <f>SUM(E27+E38+E40)</f>
        <v>4377.218278896883</v>
      </c>
    </row>
    <row r="44" spans="1:6" ht="6" customHeight="1"/>
    <row r="45" spans="1:6">
      <c r="A45" s="55" t="s">
        <v>39</v>
      </c>
      <c r="B45" s="56"/>
      <c r="C45" s="56"/>
      <c r="D45" s="56"/>
      <c r="E45" s="57">
        <f>E10-E42</f>
        <v>1022.781721103117</v>
      </c>
    </row>
    <row r="47" spans="1:6" ht="15" customHeight="1">
      <c r="A47" s="51"/>
      <c r="B47" s="51"/>
      <c r="C47" s="51"/>
      <c r="D47" s="51"/>
      <c r="E47" s="51"/>
    </row>
    <row r="48" spans="1:6" ht="18" customHeight="1">
      <c r="A48" s="1" t="s">
        <v>40</v>
      </c>
    </row>
    <row r="49" spans="1:6">
      <c r="A49" t="s">
        <v>41</v>
      </c>
      <c r="E49" s="2">
        <v>74.489999999999995</v>
      </c>
      <c r="F49" s="4" t="s">
        <v>24</v>
      </c>
    </row>
    <row r="50" spans="1:6">
      <c r="A50" t="s">
        <v>74</v>
      </c>
      <c r="E50" s="2">
        <v>322.8</v>
      </c>
      <c r="F50" t="s">
        <v>32</v>
      </c>
    </row>
    <row r="51" spans="1:6">
      <c r="A51" t="s">
        <v>42</v>
      </c>
      <c r="E51" s="2">
        <v>5</v>
      </c>
    </row>
    <row r="52" spans="1:6">
      <c r="A52" t="s">
        <v>43</v>
      </c>
      <c r="B52" s="52"/>
      <c r="C52" s="52"/>
      <c r="D52" s="52"/>
      <c r="E52" s="53">
        <f>0.01*E42</f>
        <v>43.772182788968834</v>
      </c>
    </row>
    <row r="54" spans="1:6">
      <c r="A54" s="1" t="s">
        <v>44</v>
      </c>
      <c r="E54" s="10">
        <f>SUM(E49:E53)</f>
        <v>446.06218278896887</v>
      </c>
    </row>
    <row r="56" spans="1:6">
      <c r="A56" s="1" t="s">
        <v>45</v>
      </c>
      <c r="E56" s="6">
        <f>E42+E54</f>
        <v>4823.2804616858521</v>
      </c>
    </row>
    <row r="58" spans="1:6">
      <c r="A58" s="92" t="s">
        <v>46</v>
      </c>
      <c r="B58" s="93"/>
      <c r="C58" s="93"/>
      <c r="D58" s="93"/>
      <c r="E58" s="94">
        <f>E10-E56</f>
        <v>576.71953831414794</v>
      </c>
    </row>
    <row r="59" spans="1:6">
      <c r="A59" s="52"/>
      <c r="B59" s="52"/>
      <c r="C59" s="52"/>
      <c r="D59" s="52"/>
      <c r="E59" s="52"/>
    </row>
    <row r="60" spans="1:6">
      <c r="A60" t="s">
        <v>75</v>
      </c>
      <c r="B60">
        <v>15</v>
      </c>
      <c r="C60" t="s">
        <v>48</v>
      </c>
      <c r="D60" s="2">
        <f>Operator_Labor</f>
        <v>15</v>
      </c>
      <c r="E60" s="2">
        <f>B60*D60</f>
        <v>225</v>
      </c>
    </row>
    <row r="61" spans="1:6" ht="13" thickBot="1">
      <c r="A61" s="44"/>
      <c r="B61" s="44"/>
      <c r="C61" s="44"/>
      <c r="D61" s="44"/>
      <c r="E61" s="44"/>
    </row>
    <row r="62" spans="1:6" ht="13" thickBot="1">
      <c r="A62" s="86" t="s">
        <v>49</v>
      </c>
      <c r="B62" s="87"/>
      <c r="C62" s="87"/>
      <c r="D62" s="87"/>
      <c r="E62" s="88">
        <f>E58-E60</f>
        <v>351.71953831414794</v>
      </c>
    </row>
    <row r="64" spans="1:6" ht="6.75" customHeight="1"/>
    <row r="65" spans="1:1">
      <c r="A65" s="4" t="s">
        <v>278</v>
      </c>
    </row>
    <row r="66" spans="1:1">
      <c r="A66" s="4" t="s">
        <v>249</v>
      </c>
    </row>
    <row r="67" spans="1:1">
      <c r="A67" s="4" t="s">
        <v>78</v>
      </c>
    </row>
    <row r="68" spans="1:1">
      <c r="A68" s="4" t="s">
        <v>110</v>
      </c>
    </row>
    <row r="69" spans="1:1">
      <c r="A69" s="4" t="s">
        <v>279</v>
      </c>
    </row>
    <row r="70" spans="1:1">
      <c r="A70" s="4" t="s">
        <v>250</v>
      </c>
    </row>
    <row r="71" spans="1:1">
      <c r="A71" s="4" t="s">
        <v>280</v>
      </c>
    </row>
    <row r="72" spans="1:1">
      <c r="A72" s="4" t="s">
        <v>288</v>
      </c>
    </row>
  </sheetData>
  <phoneticPr fontId="11" type="noConversion"/>
  <pageMargins left="0.75" right="0.75" top="1" bottom="1" header="0.5" footer="0.5"/>
  <pageSetup scale="57" orientation="portrait" horizontalDpi="300" verticalDpi="300"/>
  <headerFooter alignWithMargins="0"/>
  <ignoredErrors>
    <ignoredError sqref="E35" formula="1"/>
  </ignoredError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65"/>
  <sheetViews>
    <sheetView workbookViewId="0">
      <selection activeCell="I17" sqref="I17"/>
    </sheetView>
  </sheetViews>
  <sheetFormatPr baseColWidth="10" defaultColWidth="8.83203125" defaultRowHeight="12" x14ac:dyDescent="0"/>
  <cols>
    <col min="1" max="1" width="35.5" customWidth="1"/>
    <col min="2" max="2" width="8" customWidth="1"/>
    <col min="3" max="3" width="6.5" customWidth="1"/>
    <col min="4" max="4" width="9.5" customWidth="1"/>
    <col min="5" max="5" width="12" customWidth="1"/>
    <col min="6" max="6" width="5.83203125" customWidth="1"/>
  </cols>
  <sheetData>
    <row r="1" spans="1:6">
      <c r="A1" s="134" t="s">
        <v>0</v>
      </c>
      <c r="B1" s="134"/>
      <c r="C1" s="134"/>
      <c r="D1" s="134"/>
      <c r="E1" s="134"/>
      <c r="F1" s="134"/>
    </row>
    <row r="2" spans="1:6">
      <c r="A2" s="134" t="s">
        <v>239</v>
      </c>
      <c r="B2" s="134"/>
      <c r="C2" s="134"/>
      <c r="D2" s="134"/>
      <c r="E2" s="134"/>
      <c r="F2" s="134"/>
    </row>
    <row r="3" spans="1:6">
      <c r="A3" s="121" t="s">
        <v>287</v>
      </c>
      <c r="B3" s="121"/>
      <c r="C3" s="121"/>
      <c r="D3" s="121"/>
      <c r="E3" s="121"/>
      <c r="F3" s="121"/>
    </row>
    <row r="4" spans="1:6">
      <c r="A4" s="121" t="s">
        <v>296</v>
      </c>
      <c r="B4" s="121"/>
      <c r="C4" s="121"/>
      <c r="D4" s="121"/>
      <c r="E4" s="121"/>
      <c r="F4" s="121"/>
    </row>
    <row r="5" spans="1:6">
      <c r="A5" s="121" t="s">
        <v>297</v>
      </c>
      <c r="B5" s="121"/>
      <c r="C5" s="121"/>
      <c r="D5" s="121"/>
      <c r="E5" s="121"/>
      <c r="F5" s="121"/>
    </row>
    <row r="6" spans="1:6">
      <c r="B6" s="100" t="s">
        <v>2</v>
      </c>
      <c r="C6" s="100" t="s">
        <v>3</v>
      </c>
      <c r="D6" s="100" t="s">
        <v>4</v>
      </c>
      <c r="E6" s="100" t="s">
        <v>5</v>
      </c>
    </row>
    <row r="7" spans="1:6">
      <c r="A7" s="1" t="s">
        <v>6</v>
      </c>
      <c r="B7" s="97"/>
      <c r="C7" s="97"/>
      <c r="D7" s="97"/>
      <c r="E7" s="97"/>
    </row>
    <row r="8" spans="1:6">
      <c r="A8" t="s">
        <v>7</v>
      </c>
      <c r="B8" s="98">
        <v>150</v>
      </c>
      <c r="C8" s="101" t="s">
        <v>8</v>
      </c>
      <c r="D8" s="102">
        <v>20</v>
      </c>
      <c r="E8" s="99">
        <f>B8*D8</f>
        <v>3000</v>
      </c>
      <c r="F8" s="3" t="s">
        <v>9</v>
      </c>
    </row>
    <row r="10" spans="1:6">
      <c r="A10" s="51"/>
      <c r="B10" s="51"/>
      <c r="C10" s="51"/>
      <c r="D10" s="51"/>
      <c r="E10" s="51"/>
    </row>
    <row r="11" spans="1:6" ht="16" customHeight="1">
      <c r="A11" s="1" t="s">
        <v>10</v>
      </c>
    </row>
    <row r="12" spans="1:6">
      <c r="A12" t="s">
        <v>11</v>
      </c>
    </row>
    <row r="13" spans="1:6">
      <c r="A13" t="s">
        <v>12</v>
      </c>
      <c r="B13">
        <v>0.5</v>
      </c>
      <c r="C13" t="s">
        <v>13</v>
      </c>
      <c r="D13" s="2">
        <v>20</v>
      </c>
      <c r="E13" s="2">
        <f>B13*D13</f>
        <v>10</v>
      </c>
    </row>
    <row r="14" spans="1:6">
      <c r="A14" t="s">
        <v>14</v>
      </c>
      <c r="B14">
        <v>500</v>
      </c>
      <c r="C14" t="s">
        <v>15</v>
      </c>
      <c r="D14" s="2">
        <v>0.35</v>
      </c>
      <c r="E14" s="2">
        <f>B14*D14</f>
        <v>175</v>
      </c>
    </row>
    <row r="15" spans="1:6">
      <c r="A15" t="s">
        <v>16</v>
      </c>
      <c r="B15">
        <v>90</v>
      </c>
      <c r="C15" t="s">
        <v>17</v>
      </c>
      <c r="D15" s="2">
        <v>4</v>
      </c>
      <c r="E15" s="2">
        <f>B15*D15</f>
        <v>360</v>
      </c>
    </row>
    <row r="16" spans="1:6">
      <c r="A16" s="3" t="s">
        <v>18</v>
      </c>
      <c r="B16">
        <v>1</v>
      </c>
      <c r="C16" t="s">
        <v>19</v>
      </c>
      <c r="D16" s="2">
        <v>65.97</v>
      </c>
      <c r="E16" s="2">
        <f t="shared" ref="E16:E18" si="0">B16*D16</f>
        <v>65.97</v>
      </c>
      <c r="F16" s="4" t="s">
        <v>20</v>
      </c>
    </row>
    <row r="17" spans="1:7">
      <c r="A17" s="3" t="s">
        <v>21</v>
      </c>
      <c r="B17">
        <v>1</v>
      </c>
      <c r="C17" t="s">
        <v>19</v>
      </c>
      <c r="D17" s="5">
        <v>63.309999999999995</v>
      </c>
      <c r="E17" s="2">
        <f t="shared" si="0"/>
        <v>63.309999999999995</v>
      </c>
      <c r="F17" s="4" t="s">
        <v>20</v>
      </c>
    </row>
    <row r="18" spans="1:7">
      <c r="A18" s="3" t="s">
        <v>22</v>
      </c>
      <c r="B18">
        <v>1</v>
      </c>
      <c r="C18" t="s">
        <v>19</v>
      </c>
      <c r="D18" s="5">
        <v>64.44</v>
      </c>
      <c r="E18" s="2">
        <f t="shared" si="0"/>
        <v>64.44</v>
      </c>
      <c r="F18" s="4" t="s">
        <v>20</v>
      </c>
    </row>
    <row r="19" spans="1:7">
      <c r="A19" t="s">
        <v>23</v>
      </c>
      <c r="B19" s="52">
        <v>1</v>
      </c>
      <c r="C19" s="52" t="s">
        <v>19</v>
      </c>
      <c r="D19" s="53">
        <v>28.209999999999997</v>
      </c>
      <c r="E19" s="53">
        <f>B19*D19</f>
        <v>28.209999999999997</v>
      </c>
      <c r="F19" s="4" t="s">
        <v>24</v>
      </c>
    </row>
    <row r="20" spans="1:7">
      <c r="A20" s="1" t="s">
        <v>25</v>
      </c>
      <c r="E20" s="6">
        <f>SUM(E13:E19)</f>
        <v>766.93000000000006</v>
      </c>
    </row>
    <row r="22" spans="1:7">
      <c r="A22" s="51"/>
      <c r="B22" s="51"/>
      <c r="C22" s="51"/>
      <c r="D22" s="51"/>
      <c r="E22" s="51"/>
    </row>
    <row r="23" spans="1:7" ht="16" customHeight="1">
      <c r="A23" s="1" t="s">
        <v>26</v>
      </c>
    </row>
    <row r="24" spans="1:7">
      <c r="A24" t="s">
        <v>27</v>
      </c>
      <c r="B24">
        <v>1</v>
      </c>
      <c r="C24" t="s">
        <v>19</v>
      </c>
      <c r="D24" s="2">
        <v>55</v>
      </c>
      <c r="E24" s="2">
        <f>B24*D24</f>
        <v>55</v>
      </c>
      <c r="F24" s="3" t="s">
        <v>24</v>
      </c>
    </row>
    <row r="25" spans="1:7">
      <c r="A25" t="s">
        <v>28</v>
      </c>
      <c r="B25" s="7">
        <f>B8</f>
        <v>150</v>
      </c>
      <c r="C25" t="s">
        <v>29</v>
      </c>
      <c r="D25" s="2">
        <v>1.4</v>
      </c>
      <c r="E25" s="2">
        <f>B25*D25</f>
        <v>210</v>
      </c>
      <c r="F25" s="4"/>
    </row>
    <row r="26" spans="1:7">
      <c r="A26" s="3" t="s">
        <v>30</v>
      </c>
      <c r="B26" s="8">
        <f>B8/3</f>
        <v>50</v>
      </c>
      <c r="C26" t="s">
        <v>31</v>
      </c>
      <c r="D26" s="2">
        <f>Hired_Labor</f>
        <v>12.5</v>
      </c>
      <c r="E26" s="2">
        <f>B26*D26</f>
        <v>625</v>
      </c>
      <c r="F26" s="4" t="s">
        <v>32</v>
      </c>
      <c r="G26" s="3"/>
    </row>
    <row r="27" spans="1:7">
      <c r="A27" s="3" t="s">
        <v>33</v>
      </c>
      <c r="B27" s="7">
        <f>B25</f>
        <v>150</v>
      </c>
      <c r="C27" t="s">
        <v>29</v>
      </c>
      <c r="D27" s="2">
        <v>1.5</v>
      </c>
      <c r="E27" s="2">
        <f>D27*B27</f>
        <v>225</v>
      </c>
      <c r="F27" s="4" t="s">
        <v>32</v>
      </c>
      <c r="G27" s="3"/>
    </row>
    <row r="28" spans="1:7">
      <c r="A28" t="s">
        <v>34</v>
      </c>
      <c r="B28" s="54">
        <f>Marketing_Pct</f>
        <v>0.1</v>
      </c>
      <c r="C28" s="52" t="s">
        <v>35</v>
      </c>
      <c r="D28" s="53"/>
      <c r="E28" s="53">
        <f>B28*E8</f>
        <v>300</v>
      </c>
    </row>
    <row r="29" spans="1:7">
      <c r="A29" s="1" t="s">
        <v>36</v>
      </c>
      <c r="E29" s="6">
        <f>SUM(E24:E28)</f>
        <v>1415</v>
      </c>
    </row>
    <row r="31" spans="1:7">
      <c r="A31" t="s">
        <v>37</v>
      </c>
      <c r="E31" s="5">
        <f>(Interest_Pct*0.5*E20)+(Interest_Pct*0.25*E29)</f>
        <v>44.232900000000001</v>
      </c>
    </row>
    <row r="33" spans="1:6">
      <c r="A33" s="1" t="s">
        <v>38</v>
      </c>
      <c r="B33" s="1"/>
      <c r="C33" s="1"/>
      <c r="D33" s="1"/>
      <c r="E33" s="6">
        <f>SUM(E20+E29+E31)</f>
        <v>2226.1629000000003</v>
      </c>
    </row>
    <row r="35" spans="1:6">
      <c r="A35" s="55" t="s">
        <v>39</v>
      </c>
      <c r="B35" s="56"/>
      <c r="C35" s="56"/>
      <c r="D35" s="56"/>
      <c r="E35" s="57">
        <f>E8-E33</f>
        <v>773.83709999999974</v>
      </c>
    </row>
    <row r="37" spans="1:6">
      <c r="A37" s="51"/>
      <c r="B37" s="51"/>
      <c r="C37" s="51"/>
      <c r="D37" s="51"/>
      <c r="E37" s="51"/>
    </row>
    <row r="38" spans="1:6" ht="16" customHeight="1">
      <c r="A38" s="1" t="s">
        <v>40</v>
      </c>
    </row>
    <row r="39" spans="1:6">
      <c r="A39" t="s">
        <v>41</v>
      </c>
      <c r="E39" s="2">
        <v>131.55000000000001</v>
      </c>
      <c r="F39" s="4"/>
    </row>
    <row r="40" spans="1:6">
      <c r="A40" t="s">
        <v>42</v>
      </c>
      <c r="E40" s="2">
        <v>5</v>
      </c>
    </row>
    <row r="41" spans="1:6">
      <c r="A41" t="s">
        <v>43</v>
      </c>
      <c r="B41" s="52"/>
      <c r="C41" s="52"/>
      <c r="D41" s="52"/>
      <c r="E41" s="53">
        <f>0.01*E8</f>
        <v>30</v>
      </c>
    </row>
    <row r="42" spans="1:6">
      <c r="A42" s="1" t="s">
        <v>44</v>
      </c>
      <c r="E42" s="10">
        <f>SUM(E39:E41)</f>
        <v>166.55</v>
      </c>
    </row>
    <row r="44" spans="1:6">
      <c r="A44" s="1" t="s">
        <v>45</v>
      </c>
      <c r="E44" s="6">
        <f>E33+E42</f>
        <v>2392.7129000000004</v>
      </c>
    </row>
    <row r="46" spans="1:6">
      <c r="A46" s="55" t="s">
        <v>46</v>
      </c>
      <c r="B46" s="55"/>
      <c r="C46" s="55"/>
      <c r="D46" s="55"/>
      <c r="E46" s="57">
        <f>E8-E44</f>
        <v>607.28709999999955</v>
      </c>
    </row>
    <row r="48" spans="1:6">
      <c r="A48" t="s">
        <v>47</v>
      </c>
      <c r="B48">
        <v>15</v>
      </c>
      <c r="C48" t="s">
        <v>48</v>
      </c>
      <c r="D48" s="2">
        <v>15</v>
      </c>
      <c r="E48" s="2">
        <f>B48*D48</f>
        <v>225</v>
      </c>
    </row>
    <row r="49" spans="1:9" ht="13" thickBot="1">
      <c r="A49" s="44"/>
      <c r="B49" s="44"/>
      <c r="C49" s="44"/>
      <c r="D49" s="44"/>
      <c r="E49" s="44"/>
    </row>
    <row r="50" spans="1:9">
      <c r="A50" s="60" t="s">
        <v>49</v>
      </c>
      <c r="B50" s="46"/>
      <c r="C50" s="46"/>
      <c r="D50" s="46"/>
      <c r="E50" s="119">
        <f>E46-E48</f>
        <v>382.28709999999955</v>
      </c>
    </row>
    <row r="51" spans="1:9">
      <c r="A51" s="137"/>
      <c r="B51" s="137"/>
      <c r="C51" s="137"/>
      <c r="D51" s="137"/>
      <c r="E51" s="137"/>
      <c r="F51" s="138"/>
    </row>
    <row r="52" spans="1:9" hidden="1">
      <c r="A52" s="137"/>
      <c r="B52" s="137"/>
      <c r="C52" s="137"/>
      <c r="D52" s="137"/>
      <c r="E52" s="137"/>
      <c r="F52" s="138"/>
    </row>
    <row r="53" spans="1:9">
      <c r="A53" s="135" t="s">
        <v>50</v>
      </c>
      <c r="B53" s="135"/>
      <c r="C53" s="135"/>
      <c r="D53" s="135"/>
      <c r="E53" s="135"/>
      <c r="F53" s="136"/>
    </row>
    <row r="54" spans="1:9">
      <c r="A54" s="135" t="s">
        <v>242</v>
      </c>
      <c r="B54" s="135"/>
      <c r="C54" s="135"/>
      <c r="D54" s="135"/>
      <c r="E54" s="135"/>
      <c r="F54" s="136"/>
    </row>
    <row r="55" spans="1:9">
      <c r="A55" s="135" t="s">
        <v>243</v>
      </c>
      <c r="B55" s="135"/>
      <c r="C55" s="135"/>
      <c r="D55" s="135"/>
      <c r="E55" s="135"/>
      <c r="F55" s="136"/>
    </row>
    <row r="56" spans="1:9">
      <c r="A56" s="135" t="s">
        <v>110</v>
      </c>
      <c r="B56" s="135"/>
      <c r="C56" s="135"/>
      <c r="D56" s="135"/>
      <c r="E56" s="135"/>
      <c r="F56" s="136"/>
      <c r="G56" s="36"/>
      <c r="H56" s="36"/>
      <c r="I56" s="36"/>
    </row>
    <row r="57" spans="1:9">
      <c r="A57" s="135" t="s">
        <v>244</v>
      </c>
      <c r="B57" s="135"/>
      <c r="C57" s="135"/>
      <c r="D57" s="135"/>
      <c r="E57" s="135"/>
      <c r="F57" s="136"/>
      <c r="G57" s="36"/>
      <c r="H57" s="36"/>
      <c r="I57" s="36"/>
    </row>
    <row r="58" spans="1:9">
      <c r="A58" s="135" t="s">
        <v>288</v>
      </c>
      <c r="B58" s="135"/>
      <c r="C58" s="135"/>
      <c r="D58" s="135"/>
      <c r="E58" s="135"/>
      <c r="F58" s="136"/>
      <c r="G58" s="36"/>
      <c r="H58" s="36"/>
      <c r="I58" s="36"/>
    </row>
    <row r="59" spans="1:9">
      <c r="A59" s="137"/>
      <c r="B59" s="137"/>
      <c r="C59" s="137"/>
      <c r="D59" s="137"/>
      <c r="E59" s="137"/>
      <c r="F59" s="138"/>
      <c r="G59" s="36"/>
      <c r="H59" s="36"/>
      <c r="I59" s="36"/>
    </row>
    <row r="60" spans="1:9">
      <c r="A60" s="137"/>
      <c r="B60" s="137"/>
      <c r="C60" s="137"/>
      <c r="D60" s="137"/>
      <c r="E60" s="137"/>
      <c r="F60" s="138"/>
    </row>
    <row r="61" spans="1:9">
      <c r="A61" s="135"/>
      <c r="B61" s="135"/>
      <c r="C61" s="135"/>
      <c r="D61" s="135"/>
      <c r="E61" s="135"/>
      <c r="F61" s="136"/>
    </row>
    <row r="62" spans="1:9">
      <c r="A62" s="137"/>
      <c r="B62" s="137"/>
      <c r="C62" s="137"/>
      <c r="D62" s="137"/>
      <c r="E62" s="137"/>
      <c r="F62" s="138"/>
    </row>
    <row r="63" spans="1:9">
      <c r="A63" s="137"/>
      <c r="B63" s="137"/>
      <c r="C63" s="137"/>
      <c r="D63" s="137"/>
      <c r="E63" s="137"/>
      <c r="F63" s="138"/>
    </row>
    <row r="64" spans="1:9">
      <c r="A64" s="137"/>
      <c r="B64" s="137"/>
      <c r="C64" s="137"/>
      <c r="D64" s="137"/>
      <c r="E64" s="137"/>
      <c r="F64" s="138"/>
    </row>
    <row r="65" spans="1:6">
      <c r="A65" s="139"/>
      <c r="B65" s="139"/>
      <c r="C65" s="139"/>
      <c r="D65" s="139"/>
      <c r="E65" s="139"/>
      <c r="F65" s="140"/>
    </row>
  </sheetData>
  <mergeCells count="17">
    <mergeCell ref="A61:F61"/>
    <mergeCell ref="A62:F62"/>
    <mergeCell ref="A63:F63"/>
    <mergeCell ref="A64:F64"/>
    <mergeCell ref="A65:F65"/>
    <mergeCell ref="A59:F59"/>
    <mergeCell ref="A60:F60"/>
    <mergeCell ref="A51:F51"/>
    <mergeCell ref="A52:F52"/>
    <mergeCell ref="A53:F53"/>
    <mergeCell ref="A54:F54"/>
    <mergeCell ref="A55:F55"/>
    <mergeCell ref="A1:F1"/>
    <mergeCell ref="A2:F2"/>
    <mergeCell ref="A56:F56"/>
    <mergeCell ref="A57:F57"/>
    <mergeCell ref="A58:F58"/>
  </mergeCells>
  <phoneticPr fontId="11" type="noConversion"/>
  <printOptions gridLines="1"/>
  <pageMargins left="0.5" right="0.5" top="0.5" bottom="0.5" header="0.5" footer="0.5"/>
  <pageSetup scale="94"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L71"/>
  <sheetViews>
    <sheetView workbookViewId="0">
      <selection activeCell="N6" sqref="N6"/>
    </sheetView>
  </sheetViews>
  <sheetFormatPr baseColWidth="10" defaultColWidth="8.83203125" defaultRowHeight="12" x14ac:dyDescent="0"/>
  <cols>
    <col min="1" max="1" width="31.83203125" style="13" customWidth="1"/>
    <col min="2" max="2" width="6.83203125" style="13" customWidth="1"/>
    <col min="3" max="3" width="7.1640625" style="13" customWidth="1"/>
    <col min="4" max="4" width="8.1640625" style="13" customWidth="1"/>
    <col min="5" max="5" width="9.83203125" style="13" customWidth="1"/>
    <col min="6" max="6" width="8.33203125" style="13" customWidth="1"/>
    <col min="7" max="7" width="7.5" style="13" customWidth="1"/>
    <col min="8" max="8" width="9.1640625" style="13" customWidth="1"/>
    <col min="9" max="9" width="5.1640625" style="13" hidden="1" customWidth="1"/>
    <col min="10" max="10" width="0.5" style="13" hidden="1" customWidth="1"/>
    <col min="11" max="11" width="5.1640625" style="13" customWidth="1"/>
    <col min="12" max="12" width="7.83203125" style="13" customWidth="1"/>
    <col min="13" max="16384" width="8.83203125" style="13"/>
  </cols>
  <sheetData>
    <row r="1" spans="1:12">
      <c r="A1" s="12" t="s">
        <v>56</v>
      </c>
      <c r="I1" s="12"/>
      <c r="J1" s="14"/>
      <c r="L1" s="15"/>
    </row>
    <row r="2" spans="1:12">
      <c r="A2" s="12" t="s">
        <v>239</v>
      </c>
      <c r="G2" s="12"/>
      <c r="K2" s="14"/>
      <c r="L2" s="12"/>
    </row>
    <row r="3" spans="1:12">
      <c r="A3" s="12" t="s">
        <v>287</v>
      </c>
      <c r="G3" s="12"/>
    </row>
    <row r="4" spans="1:12">
      <c r="A4" s="120" t="s">
        <v>296</v>
      </c>
    </row>
    <row r="5" spans="1:12">
      <c r="A5" s="120" t="s">
        <v>297</v>
      </c>
    </row>
    <row r="6" spans="1:12">
      <c r="A6" s="120"/>
      <c r="B6" s="103" t="s">
        <v>2</v>
      </c>
      <c r="C6" s="103" t="s">
        <v>3</v>
      </c>
      <c r="D6" s="103" t="s">
        <v>4</v>
      </c>
      <c r="E6" s="103" t="s">
        <v>5</v>
      </c>
    </row>
    <row r="7" spans="1:12" ht="15" customHeight="1">
      <c r="A7" s="12" t="s">
        <v>6</v>
      </c>
      <c r="B7" s="16"/>
      <c r="H7" s="14"/>
    </row>
    <row r="8" spans="1:12">
      <c r="A8" s="13" t="s">
        <v>57</v>
      </c>
      <c r="B8" s="106">
        <v>450</v>
      </c>
      <c r="C8" s="105" t="s">
        <v>29</v>
      </c>
      <c r="D8" s="102">
        <v>15</v>
      </c>
      <c r="E8" s="102">
        <f>B8*D8</f>
        <v>6750</v>
      </c>
      <c r="F8" s="17" t="s">
        <v>284</v>
      </c>
      <c r="H8" s="12"/>
      <c r="I8" s="12"/>
      <c r="J8" s="12"/>
      <c r="K8" s="12">
        <v>4.16</v>
      </c>
    </row>
    <row r="9" spans="1:12">
      <c r="D9" s="2"/>
      <c r="E9" s="102">
        <f>B9*D9</f>
        <v>0</v>
      </c>
      <c r="F9" s="105"/>
    </row>
    <row r="10" spans="1:12" ht="15" customHeight="1">
      <c r="A10" s="13" t="s">
        <v>58</v>
      </c>
      <c r="E10" s="109">
        <f>SUM(E8:E9)</f>
        <v>6750</v>
      </c>
      <c r="F10" s="105"/>
    </row>
    <row r="11" spans="1:12">
      <c r="A11" s="67"/>
      <c r="B11" s="67"/>
      <c r="C11" s="67"/>
      <c r="D11" s="67"/>
      <c r="E11" s="67"/>
    </row>
    <row r="12" spans="1:12" ht="20" customHeight="1">
      <c r="A12" s="12" t="s">
        <v>10</v>
      </c>
    </row>
    <row r="13" spans="1:12">
      <c r="A13" s="13" t="s">
        <v>11</v>
      </c>
      <c r="D13" s="19"/>
    </row>
    <row r="14" spans="1:12">
      <c r="A14" s="13" t="s">
        <v>59</v>
      </c>
      <c r="B14" s="20">
        <v>15</v>
      </c>
      <c r="C14" s="13" t="s">
        <v>60</v>
      </c>
      <c r="D14" s="21">
        <v>45</v>
      </c>
      <c r="E14" s="2">
        <f t="shared" ref="E14:E22" si="0">B14*D14</f>
        <v>675</v>
      </c>
    </row>
    <row r="15" spans="1:12">
      <c r="A15" s="13" t="s">
        <v>61</v>
      </c>
      <c r="B15" s="13">
        <v>100</v>
      </c>
      <c r="C15" s="13" t="s">
        <v>15</v>
      </c>
      <c r="D15" s="21">
        <v>0.4</v>
      </c>
      <c r="E15" s="2">
        <f t="shared" si="0"/>
        <v>40</v>
      </c>
    </row>
    <row r="16" spans="1:12">
      <c r="A16" s="13" t="s">
        <v>62</v>
      </c>
      <c r="B16" s="13">
        <v>65</v>
      </c>
      <c r="C16" s="13" t="s">
        <v>15</v>
      </c>
      <c r="D16" s="21">
        <v>0.6</v>
      </c>
      <c r="E16" s="2">
        <f t="shared" si="0"/>
        <v>39</v>
      </c>
    </row>
    <row r="17" spans="1:7">
      <c r="A17" s="13" t="s">
        <v>63</v>
      </c>
      <c r="B17" s="22">
        <f>64.5*10</f>
        <v>645</v>
      </c>
      <c r="C17" s="13" t="s">
        <v>15</v>
      </c>
      <c r="D17" s="21">
        <v>0.45</v>
      </c>
      <c r="E17" s="2">
        <f t="shared" si="0"/>
        <v>290.25</v>
      </c>
      <c r="F17" s="13" t="s">
        <v>83</v>
      </c>
    </row>
    <row r="18" spans="1:7">
      <c r="A18" s="13" t="s">
        <v>64</v>
      </c>
      <c r="B18" s="13">
        <v>1</v>
      </c>
      <c r="C18" s="13" t="s">
        <v>19</v>
      </c>
      <c r="D18" s="21">
        <v>290</v>
      </c>
      <c r="E18" s="2">
        <f t="shared" si="0"/>
        <v>290</v>
      </c>
      <c r="F18" s="17"/>
    </row>
    <row r="19" spans="1:7">
      <c r="A19" s="13" t="s">
        <v>65</v>
      </c>
      <c r="B19" s="13">
        <v>1</v>
      </c>
      <c r="C19" s="13" t="s">
        <v>19</v>
      </c>
      <c r="D19" s="21">
        <f>423+72</f>
        <v>495</v>
      </c>
      <c r="E19" s="2">
        <f t="shared" si="0"/>
        <v>495</v>
      </c>
      <c r="F19" s="17"/>
    </row>
    <row r="20" spans="1:7">
      <c r="A20" s="13" t="s">
        <v>18</v>
      </c>
      <c r="B20" s="13">
        <v>1</v>
      </c>
      <c r="C20" s="13" t="s">
        <v>19</v>
      </c>
      <c r="D20" s="21">
        <v>16.68</v>
      </c>
      <c r="E20" s="2">
        <f t="shared" si="0"/>
        <v>16.68</v>
      </c>
      <c r="F20" s="17"/>
    </row>
    <row r="21" spans="1:7">
      <c r="A21" s="13" t="s">
        <v>21</v>
      </c>
      <c r="B21" s="13">
        <v>1</v>
      </c>
      <c r="C21" s="13" t="s">
        <v>19</v>
      </c>
      <c r="D21" s="23">
        <v>84.1</v>
      </c>
      <c r="E21" s="2">
        <f t="shared" si="0"/>
        <v>84.1</v>
      </c>
      <c r="F21" s="17" t="s">
        <v>20</v>
      </c>
    </row>
    <row r="22" spans="1:7">
      <c r="A22" s="13" t="s">
        <v>22</v>
      </c>
      <c r="B22" s="13">
        <v>1</v>
      </c>
      <c r="C22" s="13" t="s">
        <v>19</v>
      </c>
      <c r="D22" s="24">
        <v>22.43</v>
      </c>
      <c r="E22" s="2">
        <f t="shared" si="0"/>
        <v>22.43</v>
      </c>
      <c r="F22" s="17" t="s">
        <v>20</v>
      </c>
      <c r="G22" s="14"/>
    </row>
    <row r="23" spans="1:7">
      <c r="A23" s="13" t="s">
        <v>66</v>
      </c>
      <c r="B23" s="13">
        <v>1</v>
      </c>
      <c r="C23" s="13" t="s">
        <v>19</v>
      </c>
      <c r="D23" s="21">
        <v>50</v>
      </c>
      <c r="E23" s="2">
        <f>B23*D23</f>
        <v>50</v>
      </c>
      <c r="F23" s="17" t="s">
        <v>32</v>
      </c>
    </row>
    <row r="24" spans="1:7">
      <c r="A24" s="14" t="s">
        <v>67</v>
      </c>
      <c r="B24" s="13">
        <v>25</v>
      </c>
      <c r="C24" s="13" t="s">
        <v>48</v>
      </c>
      <c r="D24" s="2">
        <f>Hired_Labor</f>
        <v>12.5</v>
      </c>
      <c r="E24" s="2">
        <f>B24*D24</f>
        <v>312.5</v>
      </c>
      <c r="F24" s="17"/>
    </row>
    <row r="25" spans="1:7">
      <c r="A25" s="13" t="s">
        <v>23</v>
      </c>
      <c r="B25" s="68">
        <v>1</v>
      </c>
      <c r="C25" s="68" t="s">
        <v>19</v>
      </c>
      <c r="D25" s="69">
        <v>49.35</v>
      </c>
      <c r="E25" s="53">
        <f>B25*D25</f>
        <v>49.35</v>
      </c>
      <c r="F25" s="17" t="s">
        <v>24</v>
      </c>
    </row>
    <row r="26" spans="1:7">
      <c r="A26" s="12" t="s">
        <v>25</v>
      </c>
      <c r="D26" s="19"/>
      <c r="E26" s="18">
        <f>SUM(E14:E25)</f>
        <v>2364.31</v>
      </c>
    </row>
    <row r="28" spans="1:7" ht="12" customHeight="1">
      <c r="A28" s="67"/>
      <c r="B28" s="67"/>
      <c r="C28" s="67"/>
      <c r="D28" s="67"/>
      <c r="E28" s="67"/>
    </row>
    <row r="29" spans="1:7" ht="20" customHeight="1">
      <c r="A29" s="12" t="s">
        <v>26</v>
      </c>
    </row>
    <row r="30" spans="1:7">
      <c r="A30" s="13" t="s">
        <v>68</v>
      </c>
      <c r="B30" s="13">
        <v>24</v>
      </c>
      <c r="C30" s="13" t="s">
        <v>69</v>
      </c>
      <c r="D30" s="2">
        <f>Hired_Labor</f>
        <v>12.5</v>
      </c>
      <c r="E30" s="2">
        <f>B30*D30</f>
        <v>300</v>
      </c>
    </row>
    <row r="31" spans="1:7">
      <c r="A31" s="13" t="s">
        <v>70</v>
      </c>
      <c r="B31" s="7">
        <f>B8</f>
        <v>450</v>
      </c>
      <c r="C31" s="13" t="s">
        <v>29</v>
      </c>
      <c r="D31" s="2">
        <f>Hired_Labor/K8</f>
        <v>3.0048076923076921</v>
      </c>
      <c r="E31" s="2">
        <f>B31*D31</f>
        <v>1352.1634615384614</v>
      </c>
      <c r="F31" s="17" t="s">
        <v>71</v>
      </c>
      <c r="G31" s="14"/>
    </row>
    <row r="32" spans="1:7">
      <c r="A32" s="13" t="s">
        <v>72</v>
      </c>
      <c r="B32" s="7">
        <v>2100</v>
      </c>
      <c r="C32" s="13" t="s">
        <v>15</v>
      </c>
      <c r="D32" s="2">
        <v>0.1</v>
      </c>
      <c r="E32" s="2">
        <f>B32*D32</f>
        <v>210</v>
      </c>
      <c r="F32" s="17"/>
      <c r="G32" s="14"/>
    </row>
    <row r="33" spans="1:7">
      <c r="A33" s="13" t="s">
        <v>73</v>
      </c>
      <c r="B33" s="25">
        <f>B8</f>
        <v>450</v>
      </c>
      <c r="C33" s="13" t="s">
        <v>29</v>
      </c>
      <c r="D33" s="2">
        <v>1.4</v>
      </c>
      <c r="E33" s="2">
        <f>B33*D33</f>
        <v>630</v>
      </c>
      <c r="F33" s="17"/>
      <c r="G33" s="14"/>
    </row>
    <row r="34" spans="1:7">
      <c r="A34" s="13" t="s">
        <v>34</v>
      </c>
      <c r="B34" s="54">
        <f>Marketing_Pct</f>
        <v>0.1</v>
      </c>
      <c r="C34" s="68" t="s">
        <v>35</v>
      </c>
      <c r="D34" s="53"/>
      <c r="E34" s="53">
        <f>B34*E10</f>
        <v>675</v>
      </c>
    </row>
    <row r="35" spans="1:7">
      <c r="B35" s="26"/>
      <c r="D35" s="2"/>
      <c r="E35" s="2"/>
      <c r="F35" s="17"/>
    </row>
    <row r="37" spans="1:7">
      <c r="A37" s="12" t="s">
        <v>36</v>
      </c>
      <c r="E37" s="18">
        <f>SUM(E30:E35)</f>
        <v>3167.1634615384614</v>
      </c>
    </row>
    <row r="39" spans="1:7">
      <c r="A39" s="13" t="s">
        <v>37</v>
      </c>
      <c r="E39" s="27">
        <f>(Interest_Pct*0.5*E26)+(Interest_Pct*0.25*E37)</f>
        <v>118.43675192307691</v>
      </c>
    </row>
    <row r="41" spans="1:7">
      <c r="A41" s="12" t="s">
        <v>38</v>
      </c>
      <c r="B41" s="12"/>
      <c r="C41" s="12"/>
      <c r="D41" s="12"/>
      <c r="E41" s="18">
        <f>SUM(E26+E37+E39)</f>
        <v>5649.9102134615387</v>
      </c>
    </row>
    <row r="43" spans="1:7" ht="6" customHeight="1"/>
    <row r="44" spans="1:7">
      <c r="A44" s="70" t="s">
        <v>39</v>
      </c>
      <c r="B44" s="71"/>
      <c r="C44" s="71"/>
      <c r="D44" s="71"/>
      <c r="E44" s="72">
        <f>E10-E41</f>
        <v>1100.0897865384613</v>
      </c>
    </row>
    <row r="46" spans="1:7" ht="14" customHeight="1">
      <c r="A46" s="67"/>
      <c r="B46" s="67"/>
      <c r="C46" s="67"/>
      <c r="D46" s="67"/>
      <c r="E46" s="67"/>
    </row>
    <row r="47" spans="1:7" ht="20" customHeight="1">
      <c r="A47" s="12" t="s">
        <v>40</v>
      </c>
    </row>
    <row r="48" spans="1:7">
      <c r="A48" s="13" t="s">
        <v>41</v>
      </c>
      <c r="E48" s="2">
        <f>78.44</f>
        <v>78.44</v>
      </c>
      <c r="F48" s="17" t="s">
        <v>24</v>
      </c>
    </row>
    <row r="49" spans="1:6">
      <c r="A49" s="13" t="s">
        <v>74</v>
      </c>
      <c r="E49" s="2">
        <v>351.7</v>
      </c>
      <c r="F49" s="13" t="s">
        <v>32</v>
      </c>
    </row>
    <row r="50" spans="1:6">
      <c r="A50" s="13" t="s">
        <v>42</v>
      </c>
      <c r="E50" s="2">
        <v>5</v>
      </c>
    </row>
    <row r="51" spans="1:6">
      <c r="A51" s="13" t="s">
        <v>43</v>
      </c>
      <c r="E51" s="2">
        <f>0.01*E41</f>
        <v>56.499102134615384</v>
      </c>
    </row>
    <row r="52" spans="1:6">
      <c r="B52" s="68"/>
      <c r="C52" s="68"/>
      <c r="D52" s="68"/>
      <c r="E52" s="68"/>
    </row>
    <row r="53" spans="1:6">
      <c r="A53" s="12" t="s">
        <v>44</v>
      </c>
      <c r="E53" s="10">
        <f>SUM(E48:E52)</f>
        <v>491.63910213461537</v>
      </c>
    </row>
    <row r="55" spans="1:6">
      <c r="A55" s="12" t="s">
        <v>45</v>
      </c>
      <c r="E55" s="18">
        <f>E41+E53</f>
        <v>6141.549315596154</v>
      </c>
    </row>
    <row r="57" spans="1:6">
      <c r="A57" s="70" t="s">
        <v>46</v>
      </c>
      <c r="B57" s="71"/>
      <c r="C57" s="71"/>
      <c r="D57" s="71"/>
      <c r="E57" s="74">
        <f>E10-E55</f>
        <v>608.45068440384603</v>
      </c>
    </row>
    <row r="58" spans="1:6">
      <c r="A58" s="73"/>
      <c r="B58" s="73"/>
      <c r="C58" s="73"/>
      <c r="D58" s="73"/>
      <c r="E58" s="73"/>
    </row>
    <row r="59" spans="1:6">
      <c r="A59" s="13" t="s">
        <v>75</v>
      </c>
      <c r="B59" s="13">
        <v>20</v>
      </c>
      <c r="C59" s="13" t="s">
        <v>48</v>
      </c>
      <c r="D59" s="2">
        <f>Operator_Labor</f>
        <v>15</v>
      </c>
      <c r="E59" s="2">
        <f>B59*D59</f>
        <v>300</v>
      </c>
    </row>
    <row r="60" spans="1:6" ht="13" thickBot="1">
      <c r="A60" s="76"/>
      <c r="B60" s="76"/>
      <c r="C60" s="76"/>
      <c r="D60" s="76"/>
      <c r="E60" s="76"/>
    </row>
    <row r="61" spans="1:6" ht="13" thickBot="1">
      <c r="A61" s="75" t="s">
        <v>49</v>
      </c>
      <c r="B61" s="76"/>
      <c r="C61" s="76"/>
      <c r="D61" s="76"/>
      <c r="E61" s="77">
        <f>E57-E59</f>
        <v>308.45068440384603</v>
      </c>
    </row>
    <row r="63" spans="1:6" ht="1" customHeight="1"/>
    <row r="64" spans="1:6">
      <c r="A64" s="17" t="s">
        <v>76</v>
      </c>
    </row>
    <row r="65" spans="1:1">
      <c r="A65" s="17" t="s">
        <v>77</v>
      </c>
    </row>
    <row r="66" spans="1:1">
      <c r="A66" s="17" t="s">
        <v>78</v>
      </c>
    </row>
    <row r="67" spans="1:1">
      <c r="A67" s="17" t="s">
        <v>110</v>
      </c>
    </row>
    <row r="68" spans="1:1">
      <c r="A68" s="17" t="s">
        <v>245</v>
      </c>
    </row>
    <row r="69" spans="1:1">
      <c r="A69" s="17" t="s">
        <v>246</v>
      </c>
    </row>
    <row r="70" spans="1:1">
      <c r="A70" s="17" t="s">
        <v>247</v>
      </c>
    </row>
    <row r="71" spans="1:1">
      <c r="A71" s="17" t="s">
        <v>288</v>
      </c>
    </row>
  </sheetData>
  <phoneticPr fontId="11" type="noConversion"/>
  <printOptions gridLines="1"/>
  <pageMargins left="0.5" right="0.5" top="0.5" bottom="0.5" header="0.5" footer="0.5"/>
  <pageSetup scale="8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L68"/>
  <sheetViews>
    <sheetView workbookViewId="0">
      <selection activeCell="N17" sqref="N17"/>
    </sheetView>
  </sheetViews>
  <sheetFormatPr baseColWidth="10" defaultColWidth="8.83203125" defaultRowHeight="12" x14ac:dyDescent="0"/>
  <cols>
    <col min="1" max="1" width="31.83203125" style="13" customWidth="1"/>
    <col min="2" max="2" width="6.5" style="13" customWidth="1"/>
    <col min="3" max="3" width="7.1640625" style="13" customWidth="1"/>
    <col min="4" max="4" width="8.33203125" style="13" customWidth="1"/>
    <col min="5" max="5" width="10.5" style="13" customWidth="1"/>
    <col min="6" max="6" width="8.83203125" style="13" customWidth="1"/>
    <col min="7" max="7" width="8.83203125" style="13"/>
    <col min="8" max="8" width="7.6640625" style="13" customWidth="1"/>
    <col min="9" max="9" width="0.5" style="13" hidden="1" customWidth="1"/>
    <col min="10" max="10" width="19.83203125" style="13" hidden="1" customWidth="1"/>
    <col min="11" max="11" width="6.5" style="13" customWidth="1"/>
    <col min="12" max="16384" width="8.83203125" style="13"/>
  </cols>
  <sheetData>
    <row r="1" spans="1:12">
      <c r="A1" s="12" t="s">
        <v>80</v>
      </c>
      <c r="I1" s="12"/>
      <c r="J1" s="14"/>
      <c r="L1" s="15"/>
    </row>
    <row r="2" spans="1:12">
      <c r="A2" s="12" t="s">
        <v>239</v>
      </c>
      <c r="G2" s="12"/>
      <c r="K2" s="14"/>
      <c r="L2" s="12"/>
    </row>
    <row r="3" spans="1:12">
      <c r="A3" s="12" t="s">
        <v>287</v>
      </c>
      <c r="G3" s="12"/>
    </row>
    <row r="4" spans="1:12">
      <c r="A4" s="120" t="s">
        <v>282</v>
      </c>
    </row>
    <row r="5" spans="1:12">
      <c r="A5" s="120" t="s">
        <v>283</v>
      </c>
    </row>
    <row r="6" spans="1:12">
      <c r="A6" s="120"/>
      <c r="B6" s="103" t="s">
        <v>2</v>
      </c>
      <c r="C6" s="103" t="s">
        <v>3</v>
      </c>
      <c r="D6" s="103" t="s">
        <v>4</v>
      </c>
      <c r="E6" s="103" t="s">
        <v>5</v>
      </c>
    </row>
    <row r="7" spans="1:12" ht="17" customHeight="1">
      <c r="A7" s="12" t="s">
        <v>6</v>
      </c>
      <c r="B7" s="104"/>
      <c r="C7" s="105"/>
      <c r="D7" s="105"/>
      <c r="E7" s="105"/>
      <c r="H7" s="14"/>
    </row>
    <row r="8" spans="1:12">
      <c r="A8" s="13" t="s">
        <v>81</v>
      </c>
      <c r="B8" s="106">
        <v>600</v>
      </c>
      <c r="C8" s="105" t="s">
        <v>29</v>
      </c>
      <c r="D8" s="102">
        <v>9</v>
      </c>
      <c r="E8" s="102">
        <f>B8*D8</f>
        <v>5400</v>
      </c>
      <c r="F8" s="17" t="s">
        <v>285</v>
      </c>
      <c r="H8" s="12"/>
      <c r="I8" s="12"/>
      <c r="J8" s="12"/>
      <c r="K8" s="35">
        <v>3.125</v>
      </c>
    </row>
    <row r="9" spans="1:12">
      <c r="D9" s="102"/>
      <c r="E9" s="102">
        <f>B9*D9</f>
        <v>0</v>
      </c>
    </row>
    <row r="10" spans="1:12" ht="15" customHeight="1">
      <c r="A10" s="13" t="s">
        <v>58</v>
      </c>
      <c r="D10" s="105"/>
      <c r="E10" s="109">
        <f>SUM(E8:E9)</f>
        <v>5400</v>
      </c>
    </row>
    <row r="11" spans="1:12">
      <c r="A11" s="67"/>
      <c r="B11" s="67"/>
      <c r="C11" s="67"/>
      <c r="D11" s="67"/>
      <c r="E11" s="67"/>
    </row>
    <row r="12" spans="1:12" ht="19" customHeight="1">
      <c r="A12" s="12" t="s">
        <v>10</v>
      </c>
    </row>
    <row r="13" spans="1:12">
      <c r="A13" s="13" t="s">
        <v>11</v>
      </c>
      <c r="D13" s="19"/>
    </row>
    <row r="14" spans="1:12">
      <c r="A14" s="13" t="s">
        <v>82</v>
      </c>
      <c r="B14" s="20">
        <v>15</v>
      </c>
      <c r="C14" s="13" t="s">
        <v>60</v>
      </c>
      <c r="D14" s="21">
        <v>35</v>
      </c>
      <c r="E14" s="2">
        <f t="shared" ref="E14:E22" si="0">B14*D14</f>
        <v>525</v>
      </c>
    </row>
    <row r="15" spans="1:12">
      <c r="A15" s="13" t="s">
        <v>61</v>
      </c>
      <c r="B15" s="13">
        <v>100</v>
      </c>
      <c r="C15" s="13" t="s">
        <v>15</v>
      </c>
      <c r="D15" s="21">
        <v>0.4</v>
      </c>
      <c r="E15" s="2">
        <f t="shared" si="0"/>
        <v>40</v>
      </c>
    </row>
    <row r="16" spans="1:12">
      <c r="A16" s="13" t="s">
        <v>62</v>
      </c>
      <c r="B16" s="13">
        <v>65</v>
      </c>
      <c r="C16" s="13" t="s">
        <v>15</v>
      </c>
      <c r="D16" s="21">
        <v>0.6</v>
      </c>
      <c r="E16" s="2">
        <f t="shared" si="0"/>
        <v>39</v>
      </c>
    </row>
    <row r="17" spans="1:7">
      <c r="A17" s="13" t="s">
        <v>63</v>
      </c>
      <c r="B17" s="22">
        <f>64.5*10</f>
        <v>645</v>
      </c>
      <c r="C17" s="13" t="s">
        <v>15</v>
      </c>
      <c r="D17" s="21">
        <v>0.45</v>
      </c>
      <c r="E17" s="2">
        <f t="shared" si="0"/>
        <v>290.25</v>
      </c>
      <c r="F17" s="13" t="s">
        <v>83</v>
      </c>
    </row>
    <row r="18" spans="1:7">
      <c r="A18" s="13" t="s">
        <v>64</v>
      </c>
      <c r="B18" s="13">
        <v>1</v>
      </c>
      <c r="C18" s="13" t="s">
        <v>19</v>
      </c>
      <c r="D18" s="21">
        <v>290</v>
      </c>
      <c r="E18" s="2">
        <f t="shared" si="0"/>
        <v>290</v>
      </c>
      <c r="F18" s="17"/>
    </row>
    <row r="19" spans="1:7">
      <c r="A19" s="13" t="s">
        <v>65</v>
      </c>
      <c r="B19" s="13">
        <v>1</v>
      </c>
      <c r="C19" s="13" t="s">
        <v>19</v>
      </c>
      <c r="D19" s="21">
        <f>423+72</f>
        <v>495</v>
      </c>
      <c r="E19" s="2">
        <f t="shared" si="0"/>
        <v>495</v>
      </c>
      <c r="F19" s="17"/>
    </row>
    <row r="20" spans="1:7">
      <c r="A20" s="13" t="s">
        <v>18</v>
      </c>
      <c r="B20" s="13">
        <v>1</v>
      </c>
      <c r="C20" s="13" t="s">
        <v>19</v>
      </c>
      <c r="D20" s="21">
        <v>16.68</v>
      </c>
      <c r="E20" s="2">
        <f t="shared" si="0"/>
        <v>16.68</v>
      </c>
      <c r="F20" s="17"/>
    </row>
    <row r="21" spans="1:7">
      <c r="A21" s="13" t="s">
        <v>21</v>
      </c>
      <c r="B21" s="13">
        <v>1</v>
      </c>
      <c r="C21" s="13" t="s">
        <v>19</v>
      </c>
      <c r="D21" s="23">
        <v>84.1</v>
      </c>
      <c r="E21" s="2">
        <f t="shared" si="0"/>
        <v>84.1</v>
      </c>
      <c r="F21" s="17" t="s">
        <v>20</v>
      </c>
    </row>
    <row r="22" spans="1:7">
      <c r="A22" s="13" t="s">
        <v>22</v>
      </c>
      <c r="B22" s="13">
        <v>1</v>
      </c>
      <c r="C22" s="13" t="s">
        <v>19</v>
      </c>
      <c r="D22" s="24">
        <v>22.43</v>
      </c>
      <c r="E22" s="2">
        <f t="shared" si="0"/>
        <v>22.43</v>
      </c>
      <c r="F22" s="17" t="s">
        <v>20</v>
      </c>
      <c r="G22" s="14"/>
    </row>
    <row r="23" spans="1:7">
      <c r="A23" s="13" t="s">
        <v>66</v>
      </c>
      <c r="B23" s="13">
        <v>1</v>
      </c>
      <c r="C23" s="13" t="s">
        <v>19</v>
      </c>
      <c r="D23" s="21">
        <v>50</v>
      </c>
      <c r="E23" s="2">
        <f>B23*D23</f>
        <v>50</v>
      </c>
      <c r="F23" s="17" t="s">
        <v>32</v>
      </c>
    </row>
    <row r="24" spans="1:7">
      <c r="A24" s="14" t="s">
        <v>67</v>
      </c>
      <c r="B24" s="13">
        <v>25</v>
      </c>
      <c r="C24" s="13" t="s">
        <v>48</v>
      </c>
      <c r="D24" s="21">
        <f>Hired_Labor</f>
        <v>12.5</v>
      </c>
      <c r="E24" s="2">
        <f>B24*D24</f>
        <v>312.5</v>
      </c>
      <c r="F24" s="17"/>
    </row>
    <row r="25" spans="1:7">
      <c r="A25" s="13" t="s">
        <v>23</v>
      </c>
      <c r="B25" s="68">
        <v>1</v>
      </c>
      <c r="C25" s="68" t="s">
        <v>19</v>
      </c>
      <c r="D25" s="69">
        <v>49.35</v>
      </c>
      <c r="E25" s="53">
        <f>B25*D25</f>
        <v>49.35</v>
      </c>
      <c r="F25" s="17" t="s">
        <v>24</v>
      </c>
    </row>
    <row r="26" spans="1:7">
      <c r="A26" s="12" t="s">
        <v>25</v>
      </c>
      <c r="D26" s="19"/>
      <c r="E26" s="18">
        <f>SUM(E14:E25)</f>
        <v>2214.31</v>
      </c>
    </row>
    <row r="28" spans="1:7" ht="14" customHeight="1">
      <c r="A28" s="67"/>
      <c r="B28" s="67"/>
      <c r="C28" s="67"/>
      <c r="D28" s="67"/>
      <c r="E28" s="67"/>
    </row>
    <row r="29" spans="1:7" ht="19" customHeight="1">
      <c r="A29" s="12" t="s">
        <v>26</v>
      </c>
    </row>
    <row r="30" spans="1:7">
      <c r="A30" s="13" t="s">
        <v>68</v>
      </c>
      <c r="B30" s="13">
        <v>24</v>
      </c>
      <c r="C30" s="13" t="s">
        <v>69</v>
      </c>
      <c r="D30" s="2">
        <f>Hired_Labor</f>
        <v>12.5</v>
      </c>
      <c r="E30" s="2">
        <f>B30*D30</f>
        <v>300</v>
      </c>
    </row>
    <row r="31" spans="1:7">
      <c r="A31" s="13" t="s">
        <v>70</v>
      </c>
      <c r="B31" s="7">
        <f>B8</f>
        <v>600</v>
      </c>
      <c r="C31" s="13" t="s">
        <v>29</v>
      </c>
      <c r="D31" s="2">
        <f>Hired_Labor/K8</f>
        <v>4</v>
      </c>
      <c r="E31" s="2">
        <f>B31*D31</f>
        <v>2400</v>
      </c>
      <c r="F31" s="17" t="s">
        <v>71</v>
      </c>
      <c r="G31" s="14"/>
    </row>
    <row r="32" spans="1:7">
      <c r="A32" s="13" t="s">
        <v>73</v>
      </c>
      <c r="B32" s="25">
        <f>B8</f>
        <v>600</v>
      </c>
      <c r="C32" s="13" t="s">
        <v>29</v>
      </c>
      <c r="D32" s="2">
        <v>1.4</v>
      </c>
      <c r="E32" s="2">
        <f>B32*D32</f>
        <v>840</v>
      </c>
      <c r="F32" s="17"/>
      <c r="G32" s="14"/>
    </row>
    <row r="33" spans="1:7">
      <c r="A33" s="13" t="s">
        <v>34</v>
      </c>
      <c r="B33" s="54">
        <f>Marketing_Pct</f>
        <v>0.1</v>
      </c>
      <c r="C33" s="68" t="s">
        <v>35</v>
      </c>
      <c r="D33" s="53"/>
      <c r="E33" s="53">
        <f>B33*E10</f>
        <v>540</v>
      </c>
      <c r="F33" s="17"/>
      <c r="G33" s="14"/>
    </row>
    <row r="34" spans="1:7">
      <c r="A34" s="12" t="s">
        <v>36</v>
      </c>
      <c r="E34" s="18">
        <f>SUM(E30:E33)</f>
        <v>4080</v>
      </c>
    </row>
    <row r="36" spans="1:7">
      <c r="A36" s="13" t="s">
        <v>37</v>
      </c>
      <c r="E36" s="27">
        <f>(Interest_Pct*0.5*E26)+(Interest_Pct*0.25*E34)</f>
        <v>127.6293</v>
      </c>
    </row>
    <row r="38" spans="1:7">
      <c r="A38" s="12" t="s">
        <v>38</v>
      </c>
      <c r="B38" s="12"/>
      <c r="C38" s="12"/>
      <c r="D38" s="12"/>
      <c r="E38" s="18">
        <f>SUM(E26+E34+E36)</f>
        <v>6421.9392999999991</v>
      </c>
    </row>
    <row r="40" spans="1:7" ht="6" customHeight="1"/>
    <row r="41" spans="1:7">
      <c r="A41" s="70" t="s">
        <v>39</v>
      </c>
      <c r="B41" s="71"/>
      <c r="C41" s="71"/>
      <c r="D41" s="71"/>
      <c r="E41" s="72">
        <f>E10-E38</f>
        <v>-1021.9392999999991</v>
      </c>
    </row>
    <row r="43" spans="1:7" ht="18" customHeight="1">
      <c r="A43" s="67"/>
      <c r="B43" s="67"/>
      <c r="C43" s="67"/>
      <c r="D43" s="67"/>
      <c r="E43" s="67"/>
    </row>
    <row r="44" spans="1:7" ht="19" customHeight="1">
      <c r="A44" s="12" t="s">
        <v>40</v>
      </c>
    </row>
    <row r="45" spans="1:7">
      <c r="A45" s="13" t="s">
        <v>41</v>
      </c>
      <c r="E45" s="2">
        <v>78.44</v>
      </c>
      <c r="F45" s="17" t="s">
        <v>24</v>
      </c>
    </row>
    <row r="46" spans="1:7">
      <c r="A46" s="13" t="s">
        <v>74</v>
      </c>
      <c r="E46" s="2">
        <v>351.7</v>
      </c>
      <c r="F46" s="13" t="s">
        <v>32</v>
      </c>
    </row>
    <row r="47" spans="1:7">
      <c r="A47" s="13" t="s">
        <v>42</v>
      </c>
      <c r="E47" s="2">
        <v>5</v>
      </c>
    </row>
    <row r="48" spans="1:7">
      <c r="A48" s="13" t="s">
        <v>43</v>
      </c>
      <c r="B48" s="68"/>
      <c r="C48" s="68"/>
      <c r="D48" s="68"/>
      <c r="E48" s="53">
        <f>0.01*E38</f>
        <v>64.219392999999997</v>
      </c>
    </row>
    <row r="50" spans="1:5">
      <c r="A50" s="12" t="s">
        <v>44</v>
      </c>
      <c r="E50" s="10">
        <f>SUM(E45:E49)</f>
        <v>499.35939299999995</v>
      </c>
    </row>
    <row r="52" spans="1:5">
      <c r="A52" s="12" t="s">
        <v>45</v>
      </c>
      <c r="E52" s="18">
        <f>E38+E50</f>
        <v>6921.2986929999988</v>
      </c>
    </row>
    <row r="54" spans="1:5">
      <c r="A54" s="70" t="s">
        <v>46</v>
      </c>
      <c r="B54" s="71"/>
      <c r="C54" s="71"/>
      <c r="D54" s="71"/>
      <c r="E54" s="74">
        <f>E10-E52</f>
        <v>-1521.2986929999988</v>
      </c>
    </row>
    <row r="56" spans="1:5">
      <c r="A56" s="13" t="s">
        <v>75</v>
      </c>
      <c r="B56" s="13">
        <v>20</v>
      </c>
      <c r="C56" s="13" t="s">
        <v>48</v>
      </c>
      <c r="D56" s="2">
        <f>Operator_Labor</f>
        <v>15</v>
      </c>
      <c r="E56" s="2">
        <f>B56*D56</f>
        <v>300</v>
      </c>
    </row>
    <row r="57" spans="1:5" ht="13" thickBot="1">
      <c r="A57" s="76"/>
      <c r="B57" s="76"/>
      <c r="C57" s="76"/>
      <c r="D57" s="76"/>
      <c r="E57" s="76"/>
    </row>
    <row r="58" spans="1:5" ht="13" thickBot="1">
      <c r="A58" s="78" t="s">
        <v>49</v>
      </c>
      <c r="B58" s="79"/>
      <c r="C58" s="79"/>
      <c r="D58" s="79"/>
      <c r="E58" s="80">
        <f>E54-E56</f>
        <v>-1821.2986929999988</v>
      </c>
    </row>
    <row r="60" spans="1:5" ht="6.75" customHeight="1"/>
    <row r="61" spans="1:5">
      <c r="A61" s="17" t="s">
        <v>76</v>
      </c>
    </row>
    <row r="62" spans="1:5">
      <c r="A62" s="17" t="s">
        <v>77</v>
      </c>
    </row>
    <row r="63" spans="1:5">
      <c r="A63" s="17" t="s">
        <v>78</v>
      </c>
    </row>
    <row r="64" spans="1:5">
      <c r="A64" s="17" t="s">
        <v>110</v>
      </c>
    </row>
    <row r="65" spans="1:1">
      <c r="A65" s="17" t="s">
        <v>245</v>
      </c>
    </row>
    <row r="66" spans="1:1">
      <c r="A66" s="17" t="s">
        <v>246</v>
      </c>
    </row>
    <row r="67" spans="1:1">
      <c r="A67" s="17" t="s">
        <v>247</v>
      </c>
    </row>
    <row r="68" spans="1:1">
      <c r="A68" s="17" t="s">
        <v>288</v>
      </c>
    </row>
  </sheetData>
  <phoneticPr fontId="11" type="noConversion"/>
  <pageMargins left="0.75" right="0.75" top="1" bottom="1" header="0.5" footer="0.5"/>
  <pageSetup scale="6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L103"/>
  <sheetViews>
    <sheetView workbookViewId="0">
      <selection activeCell="H72" sqref="H72"/>
    </sheetView>
  </sheetViews>
  <sheetFormatPr baseColWidth="10" defaultColWidth="8.83203125" defaultRowHeight="12" x14ac:dyDescent="0"/>
  <cols>
    <col min="1" max="1" width="32.33203125" style="13" customWidth="1"/>
    <col min="2" max="2" width="7.83203125" style="13" customWidth="1"/>
    <col min="3" max="3" width="6.5" style="13" customWidth="1"/>
    <col min="4" max="4" width="8.33203125" style="13" customWidth="1"/>
    <col min="5" max="5" width="10.83203125" style="13" customWidth="1"/>
    <col min="6" max="6" width="5" style="13" customWidth="1"/>
    <col min="7" max="7" width="0.33203125" style="13" hidden="1" customWidth="1"/>
    <col min="8" max="8" width="25.5" style="13" customWidth="1"/>
    <col min="9" max="9" width="1.6640625" style="13" hidden="1" customWidth="1"/>
    <col min="10" max="10" width="22.6640625" style="13" hidden="1" customWidth="1"/>
    <col min="11" max="12" width="5" style="13" customWidth="1"/>
    <col min="13" max="13" width="6.5" style="13" customWidth="1"/>
    <col min="14" max="16384" width="8.83203125" style="13"/>
  </cols>
  <sheetData>
    <row r="1" spans="1:12">
      <c r="A1" s="12" t="s">
        <v>97</v>
      </c>
      <c r="I1" s="12"/>
      <c r="J1" s="14"/>
      <c r="L1" s="15"/>
    </row>
    <row r="2" spans="1:12">
      <c r="A2" s="12" t="s">
        <v>239</v>
      </c>
      <c r="G2" s="12"/>
      <c r="K2" s="14"/>
      <c r="L2" s="12"/>
    </row>
    <row r="3" spans="1:12">
      <c r="A3" s="12" t="s">
        <v>287</v>
      </c>
      <c r="G3" s="12"/>
    </row>
    <row r="4" spans="1:12">
      <c r="A4" s="12" t="s">
        <v>296</v>
      </c>
    </row>
    <row r="5" spans="1:12">
      <c r="A5" s="12" t="s">
        <v>297</v>
      </c>
    </row>
    <row r="6" spans="1:12">
      <c r="B6" s="103" t="s">
        <v>2</v>
      </c>
      <c r="C6" s="103" t="s">
        <v>3</v>
      </c>
      <c r="D6" s="103" t="s">
        <v>4</v>
      </c>
      <c r="E6" s="103" t="s">
        <v>5</v>
      </c>
    </row>
    <row r="7" spans="1:12">
      <c r="A7" s="12" t="s">
        <v>6</v>
      </c>
      <c r="B7" s="29">
        <v>500</v>
      </c>
      <c r="C7" s="105" t="s">
        <v>84</v>
      </c>
      <c r="G7" s="12"/>
      <c r="H7" s="14"/>
    </row>
    <row r="8" spans="1:12">
      <c r="A8" s="13" t="s">
        <v>96</v>
      </c>
      <c r="B8" s="107">
        <f>ROUNDUP(B7*100/7/90,0)</f>
        <v>80</v>
      </c>
      <c r="C8" s="105" t="s">
        <v>86</v>
      </c>
      <c r="D8" s="108">
        <v>100</v>
      </c>
      <c r="E8" s="102">
        <f>B8*D8</f>
        <v>8000</v>
      </c>
      <c r="F8" s="17" t="s">
        <v>79</v>
      </c>
      <c r="H8" s="12" t="s">
        <v>286</v>
      </c>
      <c r="I8" s="12"/>
      <c r="J8" s="12"/>
      <c r="K8" s="50">
        <v>3.85</v>
      </c>
    </row>
    <row r="9" spans="1:12">
      <c r="D9" s="102"/>
      <c r="E9" s="102">
        <f>B9*D9</f>
        <v>0</v>
      </c>
    </row>
    <row r="10" spans="1:12" ht="15" customHeight="1">
      <c r="A10" s="13" t="s">
        <v>58</v>
      </c>
      <c r="D10" s="105"/>
      <c r="E10" s="109">
        <f>SUM(E8:E9)</f>
        <v>8000</v>
      </c>
    </row>
    <row r="11" spans="1:12">
      <c r="A11" s="67"/>
      <c r="B11" s="67"/>
      <c r="C11" s="67"/>
      <c r="D11" s="67"/>
      <c r="E11" s="67"/>
    </row>
    <row r="12" spans="1:12" ht="19" customHeight="1">
      <c r="A12" s="12" t="s">
        <v>10</v>
      </c>
    </row>
    <row r="13" spans="1:12">
      <c r="A13" s="13" t="s">
        <v>11</v>
      </c>
      <c r="D13" s="19"/>
    </row>
    <row r="14" spans="1:12">
      <c r="A14" s="13" t="s">
        <v>95</v>
      </c>
      <c r="B14" s="22">
        <v>4356</v>
      </c>
      <c r="C14" s="13" t="s">
        <v>94</v>
      </c>
      <c r="D14" s="21">
        <v>0.18</v>
      </c>
      <c r="E14" s="2">
        <f t="shared" ref="E14:E26" si="0">B14*D14</f>
        <v>784.07999999999993</v>
      </c>
    </row>
    <row r="15" spans="1:12">
      <c r="A15" s="13" t="s">
        <v>61</v>
      </c>
      <c r="B15" s="13">
        <v>100</v>
      </c>
      <c r="C15" s="13" t="s">
        <v>15</v>
      </c>
      <c r="D15" s="21">
        <v>0.4</v>
      </c>
      <c r="E15" s="2">
        <f t="shared" si="0"/>
        <v>40</v>
      </c>
    </row>
    <row r="16" spans="1:12">
      <c r="A16" s="13" t="s">
        <v>93</v>
      </c>
      <c r="B16" s="13">
        <v>80</v>
      </c>
      <c r="C16" s="13" t="s">
        <v>15</v>
      </c>
      <c r="D16" s="21">
        <v>0.3</v>
      </c>
      <c r="E16" s="2">
        <f t="shared" si="0"/>
        <v>24</v>
      </c>
    </row>
    <row r="17" spans="1:8">
      <c r="A17" s="14" t="s">
        <v>63</v>
      </c>
      <c r="B17" s="22">
        <v>544</v>
      </c>
      <c r="C17" s="13" t="s">
        <v>15</v>
      </c>
      <c r="D17" s="21">
        <v>0.45</v>
      </c>
      <c r="E17" s="2">
        <f t="shared" si="0"/>
        <v>244.8</v>
      </c>
      <c r="F17" s="13" t="s">
        <v>83</v>
      </c>
      <c r="G17" s="14"/>
    </row>
    <row r="18" spans="1:8">
      <c r="A18" s="13" t="s">
        <v>64</v>
      </c>
      <c r="B18" s="13">
        <v>1</v>
      </c>
      <c r="C18" s="13" t="s">
        <v>19</v>
      </c>
      <c r="D18" s="21">
        <v>191</v>
      </c>
      <c r="E18" s="2">
        <f t="shared" si="0"/>
        <v>191</v>
      </c>
      <c r="F18" s="17"/>
      <c r="H18" s="118"/>
    </row>
    <row r="19" spans="1:8">
      <c r="A19" s="13" t="s">
        <v>65</v>
      </c>
      <c r="B19" s="13">
        <v>1</v>
      </c>
      <c r="C19" s="13" t="s">
        <v>19</v>
      </c>
      <c r="D19" s="21">
        <v>284</v>
      </c>
      <c r="E19" s="2">
        <f t="shared" si="0"/>
        <v>284</v>
      </c>
      <c r="F19" s="17"/>
    </row>
    <row r="20" spans="1:8">
      <c r="A20" s="13" t="s">
        <v>92</v>
      </c>
      <c r="B20" s="13">
        <v>1</v>
      </c>
      <c r="C20" s="13" t="s">
        <v>91</v>
      </c>
      <c r="D20" s="21">
        <v>75</v>
      </c>
      <c r="E20" s="2">
        <f t="shared" si="0"/>
        <v>75</v>
      </c>
    </row>
    <row r="21" spans="1:8">
      <c r="A21" s="13" t="s">
        <v>90</v>
      </c>
      <c r="B21" s="13">
        <v>1</v>
      </c>
      <c r="C21" s="13" t="s">
        <v>19</v>
      </c>
      <c r="D21" s="21">
        <v>12.69</v>
      </c>
      <c r="E21" s="2">
        <f t="shared" si="0"/>
        <v>12.69</v>
      </c>
      <c r="F21" s="17"/>
    </row>
    <row r="22" spans="1:8">
      <c r="A22" s="13" t="s">
        <v>21</v>
      </c>
      <c r="B22" s="13">
        <v>1</v>
      </c>
      <c r="C22" s="13" t="s">
        <v>19</v>
      </c>
      <c r="D22" s="23">
        <v>78.510000000000005</v>
      </c>
      <c r="E22" s="2">
        <f t="shared" si="0"/>
        <v>78.510000000000005</v>
      </c>
      <c r="F22" s="17" t="s">
        <v>20</v>
      </c>
    </row>
    <row r="23" spans="1:8">
      <c r="A23" s="13" t="s">
        <v>22</v>
      </c>
      <c r="B23" s="13">
        <v>1</v>
      </c>
      <c r="C23" s="13" t="s">
        <v>19</v>
      </c>
      <c r="D23" s="23">
        <v>152.29</v>
      </c>
      <c r="E23" s="2">
        <f t="shared" si="0"/>
        <v>152.29</v>
      </c>
      <c r="F23" s="17" t="s">
        <v>20</v>
      </c>
    </row>
    <row r="24" spans="1:8">
      <c r="A24" s="13" t="s">
        <v>66</v>
      </c>
      <c r="B24" s="13">
        <v>1</v>
      </c>
      <c r="C24" s="13" t="s">
        <v>19</v>
      </c>
      <c r="D24" s="21">
        <v>50</v>
      </c>
      <c r="E24" s="2">
        <f t="shared" si="0"/>
        <v>50</v>
      </c>
      <c r="F24" s="17" t="s">
        <v>32</v>
      </c>
    </row>
    <row r="25" spans="1:8">
      <c r="A25" s="13" t="s">
        <v>67</v>
      </c>
      <c r="B25" s="13">
        <v>20</v>
      </c>
      <c r="C25" s="13" t="s">
        <v>48</v>
      </c>
      <c r="D25" s="21">
        <f>Hired_Labor</f>
        <v>12.5</v>
      </c>
      <c r="E25" s="2">
        <f t="shared" si="0"/>
        <v>250</v>
      </c>
      <c r="F25" s="17"/>
    </row>
    <row r="26" spans="1:8">
      <c r="A26" s="13" t="s">
        <v>23</v>
      </c>
      <c r="B26" s="68">
        <v>1</v>
      </c>
      <c r="C26" s="68" t="s">
        <v>19</v>
      </c>
      <c r="D26" s="69">
        <v>43.61</v>
      </c>
      <c r="E26" s="53">
        <f t="shared" si="0"/>
        <v>43.61</v>
      </c>
      <c r="F26" s="17" t="s">
        <v>24</v>
      </c>
    </row>
    <row r="27" spans="1:8">
      <c r="A27" s="12" t="s">
        <v>25</v>
      </c>
      <c r="D27" s="19"/>
      <c r="E27" s="18">
        <f>SUM(E14:E26)</f>
        <v>2229.98</v>
      </c>
    </row>
    <row r="28" spans="1:8">
      <c r="D28" s="19"/>
    </row>
    <row r="29" spans="1:8" ht="13" customHeight="1">
      <c r="A29" s="67"/>
      <c r="B29" s="67"/>
      <c r="C29" s="67"/>
      <c r="D29" s="67"/>
      <c r="E29" s="67"/>
    </row>
    <row r="30" spans="1:8" ht="19" customHeight="1">
      <c r="A30" s="12" t="s">
        <v>26</v>
      </c>
      <c r="D30" s="19"/>
    </row>
    <row r="31" spans="1:8">
      <c r="A31" s="13" t="s">
        <v>68</v>
      </c>
      <c r="B31" s="13">
        <v>18</v>
      </c>
      <c r="C31" s="13" t="s">
        <v>69</v>
      </c>
      <c r="D31" s="21"/>
      <c r="E31" s="2">
        <f>Hired_Labor</f>
        <v>12.5</v>
      </c>
    </row>
    <row r="32" spans="1:8">
      <c r="A32" s="13" t="s">
        <v>89</v>
      </c>
      <c r="D32" s="2"/>
    </row>
    <row r="33" spans="1:7">
      <c r="A33" s="13" t="s">
        <v>88</v>
      </c>
      <c r="B33" s="21">
        <f>Hired_Labor/K8</f>
        <v>3.2467532467532467</v>
      </c>
      <c r="C33" s="13" t="s">
        <v>84</v>
      </c>
      <c r="D33" s="2"/>
      <c r="E33" s="2">
        <f>ROUNDUP(B7*B33,0)</f>
        <v>1624</v>
      </c>
      <c r="F33" s="17" t="s">
        <v>71</v>
      </c>
      <c r="G33" s="14"/>
    </row>
    <row r="34" spans="1:7">
      <c r="A34" s="13" t="s">
        <v>87</v>
      </c>
      <c r="B34" s="22">
        <f>B8</f>
        <v>80</v>
      </c>
      <c r="C34" s="13" t="s">
        <v>86</v>
      </c>
      <c r="D34" s="2">
        <v>10</v>
      </c>
      <c r="E34" s="2">
        <f>B34*D34</f>
        <v>800</v>
      </c>
      <c r="F34" s="17"/>
      <c r="G34" s="14"/>
    </row>
    <row r="35" spans="1:7">
      <c r="A35" s="13" t="s">
        <v>34</v>
      </c>
      <c r="B35" s="28">
        <f>Marketing_Pct</f>
        <v>0.1</v>
      </c>
      <c r="C35" s="13" t="s">
        <v>35</v>
      </c>
      <c r="D35" s="2"/>
      <c r="E35" s="2">
        <f>B35*E10</f>
        <v>800</v>
      </c>
    </row>
    <row r="36" spans="1:7">
      <c r="A36" s="13" t="s">
        <v>85</v>
      </c>
      <c r="B36" s="68">
        <f>B7</f>
        <v>500</v>
      </c>
      <c r="C36" s="68" t="s">
        <v>84</v>
      </c>
      <c r="D36" s="53">
        <v>0.5</v>
      </c>
      <c r="E36" s="53">
        <f>B36*D36</f>
        <v>250</v>
      </c>
      <c r="F36" s="17" t="s">
        <v>24</v>
      </c>
    </row>
    <row r="38" spans="1:7">
      <c r="A38" s="12" t="s">
        <v>36</v>
      </c>
      <c r="E38" s="18">
        <f>SUM(E31:E36)</f>
        <v>3486.5</v>
      </c>
    </row>
    <row r="40" spans="1:7">
      <c r="A40" s="13" t="s">
        <v>37</v>
      </c>
      <c r="E40" s="27">
        <f>(Interest_Pct*0.5*E27)+(Interest_Pct*0.25*E38)</f>
        <v>119.1969</v>
      </c>
    </row>
    <row r="42" spans="1:7">
      <c r="A42" s="12" t="s">
        <v>38</v>
      </c>
      <c r="B42" s="12"/>
      <c r="C42" s="12"/>
      <c r="D42" s="12"/>
      <c r="E42" s="18">
        <f>SUM(E27+E38+E40)</f>
        <v>5835.6768999999995</v>
      </c>
    </row>
    <row r="44" spans="1:7" ht="6" customHeight="1"/>
    <row r="45" spans="1:7">
      <c r="A45" s="70" t="s">
        <v>39</v>
      </c>
      <c r="B45" s="71"/>
      <c r="C45" s="71"/>
      <c r="D45" s="71"/>
      <c r="E45" s="72">
        <f>E10-E42</f>
        <v>2164.3231000000005</v>
      </c>
    </row>
    <row r="46" spans="1:7" ht="15" customHeight="1"/>
    <row r="47" spans="1:7" ht="14" customHeight="1">
      <c r="A47" s="67"/>
      <c r="B47" s="67"/>
      <c r="C47" s="67"/>
      <c r="D47" s="67"/>
      <c r="E47" s="67"/>
    </row>
    <row r="48" spans="1:7" ht="19" customHeight="1">
      <c r="A48" s="12" t="s">
        <v>40</v>
      </c>
    </row>
    <row r="49" spans="1:6">
      <c r="A49" s="13" t="s">
        <v>41</v>
      </c>
      <c r="E49" s="2">
        <v>74.489999999999995</v>
      </c>
      <c r="F49" s="17" t="s">
        <v>24</v>
      </c>
    </row>
    <row r="50" spans="1:6">
      <c r="A50" s="13" t="s">
        <v>74</v>
      </c>
      <c r="E50" s="2">
        <v>331.2</v>
      </c>
      <c r="F50" s="13" t="s">
        <v>32</v>
      </c>
    </row>
    <row r="51" spans="1:6">
      <c r="A51" s="13" t="s">
        <v>42</v>
      </c>
      <c r="E51" s="2">
        <v>5</v>
      </c>
    </row>
    <row r="52" spans="1:6">
      <c r="A52" s="13" t="s">
        <v>43</v>
      </c>
      <c r="B52" s="68"/>
      <c r="C52" s="68"/>
      <c r="D52" s="68"/>
      <c r="E52" s="53">
        <f>0.01*E42</f>
        <v>58.356768999999993</v>
      </c>
    </row>
    <row r="54" spans="1:6">
      <c r="A54" s="12" t="s">
        <v>44</v>
      </c>
      <c r="E54" s="10">
        <f>SUM(E49:E53)</f>
        <v>469.04676899999998</v>
      </c>
    </row>
    <row r="56" spans="1:6">
      <c r="A56" s="12" t="s">
        <v>45</v>
      </c>
      <c r="E56" s="18">
        <f>E42+E54</f>
        <v>6304.7236689999991</v>
      </c>
    </row>
    <row r="58" spans="1:6">
      <c r="A58" s="70" t="s">
        <v>46</v>
      </c>
      <c r="B58" s="71"/>
      <c r="C58" s="71"/>
      <c r="D58" s="71"/>
      <c r="E58" s="74">
        <f>E10-E56</f>
        <v>1695.2763310000009</v>
      </c>
    </row>
    <row r="60" spans="1:6">
      <c r="A60" s="13" t="s">
        <v>75</v>
      </c>
      <c r="B60" s="13">
        <v>15</v>
      </c>
      <c r="C60" s="13" t="s">
        <v>48</v>
      </c>
      <c r="D60" s="2">
        <f>Operator_Labor</f>
        <v>15</v>
      </c>
      <c r="E60" s="2">
        <f>B60*D60</f>
        <v>225</v>
      </c>
    </row>
    <row r="61" spans="1:6" ht="13" thickBot="1">
      <c r="A61" s="76"/>
      <c r="B61" s="76"/>
      <c r="C61" s="76"/>
      <c r="D61" s="76"/>
      <c r="E61" s="76"/>
    </row>
    <row r="62" spans="1:6" ht="13" thickBot="1">
      <c r="A62" s="75" t="s">
        <v>49</v>
      </c>
      <c r="B62" s="76"/>
      <c r="C62" s="76"/>
      <c r="D62" s="76"/>
      <c r="E62" s="77">
        <f>E58-E60</f>
        <v>1470.2763310000009</v>
      </c>
    </row>
    <row r="64" spans="1:6" ht="6.75" hidden="1" customHeight="1"/>
    <row r="65" spans="1:1">
      <c r="A65" s="17" t="s">
        <v>248</v>
      </c>
    </row>
    <row r="66" spans="1:1">
      <c r="A66" s="17" t="s">
        <v>249</v>
      </c>
    </row>
    <row r="67" spans="1:1">
      <c r="A67" s="17" t="s">
        <v>78</v>
      </c>
    </row>
    <row r="68" spans="1:1">
      <c r="A68" s="17" t="s">
        <v>110</v>
      </c>
    </row>
    <row r="69" spans="1:1">
      <c r="A69" s="17" t="s">
        <v>245</v>
      </c>
    </row>
    <row r="70" spans="1:1">
      <c r="A70" s="17" t="s">
        <v>250</v>
      </c>
    </row>
    <row r="71" spans="1:1">
      <c r="A71" s="17" t="s">
        <v>251</v>
      </c>
    </row>
    <row r="72" spans="1:1">
      <c r="A72" s="17" t="s">
        <v>288</v>
      </c>
    </row>
    <row r="73" spans="1:1">
      <c r="A73" s="17" t="s">
        <v>298</v>
      </c>
    </row>
    <row r="101" spans="1:1">
      <c r="A101" s="12"/>
    </row>
    <row r="102" spans="1:1">
      <c r="A102" s="14"/>
    </row>
    <row r="103" spans="1:1">
      <c r="A103" s="14"/>
    </row>
  </sheetData>
  <phoneticPr fontId="11" type="noConversion"/>
  <pageMargins left="0.75" right="0.75" top="1" bottom="1" header="0.5" footer="0.5"/>
  <pageSetup scale="6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L103"/>
  <sheetViews>
    <sheetView workbookViewId="0"/>
  </sheetViews>
  <sheetFormatPr baseColWidth="10" defaultColWidth="8.83203125" defaultRowHeight="12" x14ac:dyDescent="0"/>
  <cols>
    <col min="1" max="1" width="32.6640625" style="13" customWidth="1"/>
    <col min="2" max="2" width="7.33203125" style="13" customWidth="1"/>
    <col min="3" max="3" width="6.6640625" style="13" customWidth="1"/>
    <col min="4" max="4" width="8.1640625" style="13" customWidth="1"/>
    <col min="5" max="5" width="11.83203125" style="13" bestFit="1" customWidth="1"/>
    <col min="6" max="6" width="4" style="13" customWidth="1"/>
    <col min="7" max="7" width="8.5" style="13" customWidth="1"/>
    <col min="8" max="8" width="10.5" style="13" customWidth="1"/>
    <col min="9" max="9" width="2.5" style="13" hidden="1" customWidth="1"/>
    <col min="10" max="10" width="8.83203125" style="13" hidden="1" customWidth="1"/>
    <col min="11" max="11" width="7.5" style="13" customWidth="1"/>
    <col min="12" max="16384" width="8.83203125" style="13"/>
  </cols>
  <sheetData>
    <row r="1" spans="1:12">
      <c r="A1" s="12" t="s">
        <v>98</v>
      </c>
      <c r="I1" s="12"/>
      <c r="J1" s="14"/>
      <c r="L1" s="15"/>
    </row>
    <row r="2" spans="1:12">
      <c r="A2" s="12" t="s">
        <v>1</v>
      </c>
      <c r="G2" s="12"/>
      <c r="K2" s="14"/>
      <c r="L2" s="12"/>
    </row>
    <row r="3" spans="1:12">
      <c r="A3" s="12" t="s">
        <v>287</v>
      </c>
      <c r="G3" s="12"/>
    </row>
    <row r="4" spans="1:12">
      <c r="A4" s="12" t="s">
        <v>296</v>
      </c>
    </row>
    <row r="5" spans="1:12">
      <c r="A5" s="12" t="s">
        <v>297</v>
      </c>
    </row>
    <row r="6" spans="1:12">
      <c r="A6" s="117"/>
      <c r="B6" s="103" t="s">
        <v>2</v>
      </c>
      <c r="C6" s="103" t="s">
        <v>3</v>
      </c>
      <c r="D6" s="103" t="s">
        <v>4</v>
      </c>
      <c r="E6" s="103" t="s">
        <v>5</v>
      </c>
    </row>
    <row r="7" spans="1:12" ht="20" customHeight="1">
      <c r="A7" s="12" t="s">
        <v>6</v>
      </c>
      <c r="B7" s="110"/>
      <c r="C7" s="105" t="s">
        <v>84</v>
      </c>
      <c r="D7" s="105"/>
      <c r="E7" s="105"/>
      <c r="G7" s="12"/>
      <c r="H7" s="14"/>
    </row>
    <row r="8" spans="1:12">
      <c r="A8" s="13" t="s">
        <v>99</v>
      </c>
      <c r="B8" s="107">
        <v>500</v>
      </c>
      <c r="C8" s="105" t="s">
        <v>29</v>
      </c>
      <c r="D8" s="102">
        <v>9.5</v>
      </c>
      <c r="E8" s="102">
        <f>B8*D8</f>
        <v>4750</v>
      </c>
      <c r="F8" s="17" t="s">
        <v>79</v>
      </c>
      <c r="G8" s="12" t="s">
        <v>105</v>
      </c>
      <c r="K8" s="12">
        <v>10</v>
      </c>
    </row>
    <row r="9" spans="1:12">
      <c r="D9" s="102"/>
      <c r="E9" s="102">
        <f>B9*D9</f>
        <v>0</v>
      </c>
      <c r="G9" s="12" t="s">
        <v>106</v>
      </c>
      <c r="H9" s="12"/>
      <c r="I9" s="12"/>
      <c r="J9" s="12"/>
      <c r="K9" s="12">
        <v>6.58</v>
      </c>
    </row>
    <row r="10" spans="1:12" ht="15" customHeight="1">
      <c r="A10" s="13" t="s">
        <v>58</v>
      </c>
      <c r="D10" s="105"/>
      <c r="E10" s="109">
        <f>SUM(E8:E9)</f>
        <v>4750</v>
      </c>
    </row>
    <row r="11" spans="1:12">
      <c r="A11" s="67"/>
      <c r="B11" s="67"/>
      <c r="C11" s="67"/>
      <c r="D11" s="67"/>
      <c r="E11" s="67"/>
    </row>
    <row r="12" spans="1:12" ht="19" customHeight="1">
      <c r="A12" s="12" t="s">
        <v>10</v>
      </c>
    </row>
    <row r="13" spans="1:12">
      <c r="A13" s="13" t="s">
        <v>11</v>
      </c>
    </row>
    <row r="14" spans="1:12">
      <c r="A14" s="14" t="s">
        <v>100</v>
      </c>
      <c r="B14" s="22">
        <v>2</v>
      </c>
      <c r="C14" s="14" t="s">
        <v>15</v>
      </c>
      <c r="D14" s="2">
        <v>100</v>
      </c>
      <c r="E14" s="2">
        <f t="shared" ref="E14:E19" si="0">B14*D14</f>
        <v>200</v>
      </c>
    </row>
    <row r="15" spans="1:12">
      <c r="A15" s="13" t="s">
        <v>61</v>
      </c>
      <c r="B15" s="13">
        <v>100</v>
      </c>
      <c r="C15" s="13" t="s">
        <v>15</v>
      </c>
      <c r="D15" s="2">
        <v>0.4</v>
      </c>
      <c r="E15" s="2">
        <f t="shared" si="0"/>
        <v>40</v>
      </c>
    </row>
    <row r="16" spans="1:12">
      <c r="A16" s="13" t="s">
        <v>93</v>
      </c>
      <c r="B16" s="13">
        <v>80</v>
      </c>
      <c r="C16" s="13" t="s">
        <v>15</v>
      </c>
      <c r="D16" s="2">
        <v>0.3</v>
      </c>
      <c r="E16" s="2">
        <f t="shared" si="0"/>
        <v>24</v>
      </c>
    </row>
    <row r="17" spans="1:7">
      <c r="A17" s="14" t="s">
        <v>63</v>
      </c>
      <c r="B17" s="22">
        <v>372</v>
      </c>
      <c r="C17" s="13" t="s">
        <v>15</v>
      </c>
      <c r="D17" s="2">
        <v>0.45</v>
      </c>
      <c r="E17" s="2">
        <f t="shared" si="0"/>
        <v>167.4</v>
      </c>
      <c r="F17" s="13" t="s">
        <v>83</v>
      </c>
    </row>
    <row r="18" spans="1:7">
      <c r="A18" s="13" t="s">
        <v>64</v>
      </c>
      <c r="B18" s="13">
        <v>1</v>
      </c>
      <c r="C18" s="13" t="s">
        <v>19</v>
      </c>
      <c r="D18" s="2">
        <v>229</v>
      </c>
      <c r="E18" s="2">
        <f t="shared" si="0"/>
        <v>229</v>
      </c>
      <c r="F18" s="17"/>
    </row>
    <row r="19" spans="1:7">
      <c r="A19" s="13" t="s">
        <v>65</v>
      </c>
      <c r="B19" s="13">
        <v>1</v>
      </c>
      <c r="C19" s="13" t="s">
        <v>19</v>
      </c>
      <c r="D19" s="2">
        <v>326</v>
      </c>
      <c r="E19" s="2">
        <f t="shared" si="0"/>
        <v>326</v>
      </c>
      <c r="F19" s="17"/>
    </row>
    <row r="20" spans="1:7">
      <c r="A20" s="13" t="s">
        <v>92</v>
      </c>
      <c r="B20" s="13">
        <v>1</v>
      </c>
      <c r="C20" s="13" t="s">
        <v>91</v>
      </c>
      <c r="D20" s="2">
        <v>75</v>
      </c>
      <c r="E20" s="2">
        <f>B20*D20</f>
        <v>75</v>
      </c>
    </row>
    <row r="21" spans="1:7">
      <c r="A21" s="13" t="s">
        <v>90</v>
      </c>
      <c r="B21" s="13">
        <v>1</v>
      </c>
      <c r="C21" s="13" t="s">
        <v>19</v>
      </c>
      <c r="D21" s="2">
        <v>12.69</v>
      </c>
      <c r="E21" s="2">
        <f t="shared" ref="E21:E23" si="1">B21*D21</f>
        <v>12.69</v>
      </c>
      <c r="F21" s="17"/>
    </row>
    <row r="22" spans="1:7">
      <c r="A22" s="13" t="s">
        <v>21</v>
      </c>
      <c r="B22" s="13">
        <v>1</v>
      </c>
      <c r="C22" s="13" t="s">
        <v>19</v>
      </c>
      <c r="D22" s="2">
        <v>20.52</v>
      </c>
      <c r="E22" s="2">
        <f t="shared" si="1"/>
        <v>20.52</v>
      </c>
      <c r="F22" s="17" t="s">
        <v>20</v>
      </c>
    </row>
    <row r="23" spans="1:7">
      <c r="A23" s="13" t="s">
        <v>22</v>
      </c>
      <c r="B23" s="13">
        <v>1</v>
      </c>
      <c r="C23" s="13" t="s">
        <v>19</v>
      </c>
      <c r="D23" s="2">
        <v>144.21</v>
      </c>
      <c r="E23" s="2">
        <f t="shared" si="1"/>
        <v>144.21</v>
      </c>
      <c r="F23" s="17" t="s">
        <v>20</v>
      </c>
    </row>
    <row r="24" spans="1:7">
      <c r="A24" s="13" t="s">
        <v>66</v>
      </c>
      <c r="B24" s="13">
        <v>1</v>
      </c>
      <c r="C24" s="13" t="s">
        <v>19</v>
      </c>
      <c r="D24" s="2">
        <v>50</v>
      </c>
      <c r="E24" s="2">
        <f>B24*D24</f>
        <v>50</v>
      </c>
      <c r="F24" s="17" t="s">
        <v>32</v>
      </c>
    </row>
    <row r="25" spans="1:7">
      <c r="A25" s="13" t="s">
        <v>67</v>
      </c>
      <c r="B25" s="13">
        <v>10</v>
      </c>
      <c r="C25" s="13" t="s">
        <v>48</v>
      </c>
      <c r="D25" s="2">
        <f>Hired_Labor</f>
        <v>12.5</v>
      </c>
      <c r="E25" s="2">
        <f>B25*D25</f>
        <v>125</v>
      </c>
      <c r="F25" s="17"/>
      <c r="G25" s="14"/>
    </row>
    <row r="26" spans="1:7">
      <c r="A26" s="13" t="s">
        <v>23</v>
      </c>
      <c r="B26" s="68">
        <v>1</v>
      </c>
      <c r="C26" s="68" t="s">
        <v>19</v>
      </c>
      <c r="D26" s="53">
        <v>43.61</v>
      </c>
      <c r="E26" s="53">
        <f>B26*D26</f>
        <v>43.61</v>
      </c>
      <c r="F26" s="17" t="s">
        <v>24</v>
      </c>
    </row>
    <row r="27" spans="1:7">
      <c r="A27" s="12" t="s">
        <v>25</v>
      </c>
      <c r="E27" s="18">
        <f>SUM(E14:E26)</f>
        <v>1457.43</v>
      </c>
    </row>
    <row r="29" spans="1:7" ht="12" customHeight="1">
      <c r="A29" s="67"/>
      <c r="B29" s="67"/>
      <c r="C29" s="67"/>
      <c r="D29" s="67"/>
      <c r="E29" s="67"/>
    </row>
    <row r="30" spans="1:7" ht="19" customHeight="1">
      <c r="A30" s="12" t="s">
        <v>26</v>
      </c>
    </row>
    <row r="31" spans="1:7">
      <c r="A31" s="13" t="s">
        <v>68</v>
      </c>
      <c r="B31" s="13">
        <v>18</v>
      </c>
      <c r="C31" s="13" t="s">
        <v>69</v>
      </c>
      <c r="D31" s="2">
        <f>Hired_Labor</f>
        <v>12.5</v>
      </c>
      <c r="E31" s="2">
        <f>B31*D31</f>
        <v>225</v>
      </c>
    </row>
    <row r="32" spans="1:7">
      <c r="A32" s="13" t="s">
        <v>89</v>
      </c>
      <c r="D32" s="2"/>
    </row>
    <row r="33" spans="1:7">
      <c r="A33" s="14" t="s">
        <v>101</v>
      </c>
      <c r="B33" s="25">
        <f>B8</f>
        <v>500</v>
      </c>
      <c r="C33" s="14" t="s">
        <v>102</v>
      </c>
      <c r="D33" s="2">
        <f>Hired_Labor/K8</f>
        <v>1.25</v>
      </c>
      <c r="E33" s="2">
        <f>B33*D33</f>
        <v>625</v>
      </c>
      <c r="F33" s="17" t="s">
        <v>71</v>
      </c>
      <c r="G33" s="14"/>
    </row>
    <row r="34" spans="1:7">
      <c r="A34" s="14" t="s">
        <v>103</v>
      </c>
      <c r="B34" s="25">
        <f>B8</f>
        <v>500</v>
      </c>
      <c r="C34" s="14" t="s">
        <v>102</v>
      </c>
      <c r="D34" s="2">
        <f>Hired_Labor/K9</f>
        <v>1.8996960486322187</v>
      </c>
      <c r="E34" s="2">
        <f>B34*D34</f>
        <v>949.84802431610933</v>
      </c>
      <c r="F34" s="17" t="s">
        <v>71</v>
      </c>
      <c r="G34" s="14"/>
    </row>
    <row r="35" spans="1:7">
      <c r="A35" s="14" t="s">
        <v>73</v>
      </c>
      <c r="B35" s="25">
        <f>B8</f>
        <v>500</v>
      </c>
      <c r="C35" s="14" t="s">
        <v>29</v>
      </c>
      <c r="D35" s="2">
        <v>1.4</v>
      </c>
      <c r="E35" s="2">
        <f>B35*D35</f>
        <v>700</v>
      </c>
      <c r="F35" s="17"/>
      <c r="G35" s="14"/>
    </row>
    <row r="36" spans="1:7">
      <c r="A36" s="13" t="s">
        <v>34</v>
      </c>
      <c r="B36" s="30">
        <f>Marketing_Pct</f>
        <v>0.1</v>
      </c>
      <c r="C36" s="13" t="s">
        <v>35</v>
      </c>
      <c r="D36" s="2"/>
      <c r="E36" s="2">
        <f>B36*E10</f>
        <v>475</v>
      </c>
    </row>
    <row r="37" spans="1:7">
      <c r="A37" s="13" t="s">
        <v>85</v>
      </c>
      <c r="B37" s="81">
        <f>B8</f>
        <v>500</v>
      </c>
      <c r="C37" s="82" t="s">
        <v>29</v>
      </c>
      <c r="D37" s="53">
        <v>7.0000000000000007E-2</v>
      </c>
      <c r="E37" s="53">
        <f>B37*D37</f>
        <v>35</v>
      </c>
      <c r="F37" s="17" t="s">
        <v>24</v>
      </c>
    </row>
    <row r="39" spans="1:7">
      <c r="A39" s="12" t="s">
        <v>36</v>
      </c>
      <c r="E39" s="18">
        <f>SUM(E31:E37)</f>
        <v>3009.8480243161093</v>
      </c>
    </row>
    <row r="41" spans="1:7">
      <c r="A41" s="13" t="s">
        <v>37</v>
      </c>
      <c r="E41" s="27">
        <f>(Interest_Pct*0.5*E27)+(Interest_Pct*0.25*E39)</f>
        <v>88.87062036474164</v>
      </c>
    </row>
    <row r="43" spans="1:7">
      <c r="A43" s="12" t="s">
        <v>38</v>
      </c>
      <c r="B43" s="12"/>
      <c r="C43" s="12"/>
      <c r="D43" s="12"/>
      <c r="E43" s="18">
        <f>SUM(E27+E39+E41)</f>
        <v>4556.1486446808512</v>
      </c>
    </row>
    <row r="45" spans="1:7">
      <c r="A45" s="70" t="s">
        <v>39</v>
      </c>
      <c r="B45" s="71"/>
      <c r="C45" s="71"/>
      <c r="D45" s="71"/>
      <c r="E45" s="72">
        <f>E10-E43</f>
        <v>193.85135531914875</v>
      </c>
    </row>
    <row r="47" spans="1:7" ht="13" customHeight="1">
      <c r="A47" s="67"/>
      <c r="B47" s="67"/>
      <c r="C47" s="67"/>
      <c r="D47" s="67"/>
      <c r="E47" s="67"/>
    </row>
    <row r="48" spans="1:7" ht="19" customHeight="1">
      <c r="A48" s="12" t="s">
        <v>40</v>
      </c>
    </row>
    <row r="49" spans="1:6">
      <c r="A49" s="13" t="s">
        <v>41</v>
      </c>
      <c r="E49" s="2">
        <v>68.989999999999995</v>
      </c>
      <c r="F49" s="17" t="s">
        <v>24</v>
      </c>
    </row>
    <row r="50" spans="1:6">
      <c r="A50" s="13" t="s">
        <v>74</v>
      </c>
      <c r="E50" s="2">
        <v>328.4</v>
      </c>
      <c r="F50" s="13" t="s">
        <v>32</v>
      </c>
    </row>
    <row r="51" spans="1:6">
      <c r="A51" s="13" t="s">
        <v>42</v>
      </c>
      <c r="E51" s="2">
        <v>5</v>
      </c>
    </row>
    <row r="52" spans="1:6">
      <c r="A52" s="13" t="s">
        <v>43</v>
      </c>
      <c r="B52" s="68"/>
      <c r="C52" s="68"/>
      <c r="D52" s="68"/>
      <c r="E52" s="53">
        <f>0.01*E43</f>
        <v>45.561486446808516</v>
      </c>
    </row>
    <row r="54" spans="1:6">
      <c r="A54" s="12" t="s">
        <v>44</v>
      </c>
      <c r="E54" s="10">
        <f>SUM(E49:E53)</f>
        <v>447.95148644680853</v>
      </c>
    </row>
    <row r="56" spans="1:6">
      <c r="A56" s="12" t="s">
        <v>45</v>
      </c>
      <c r="E56" s="18">
        <f>E43+E54</f>
        <v>5004.1001311276596</v>
      </c>
    </row>
    <row r="58" spans="1:6">
      <c r="A58" s="70" t="s">
        <v>46</v>
      </c>
      <c r="B58" s="71"/>
      <c r="C58" s="71"/>
      <c r="D58" s="71"/>
      <c r="E58" s="74">
        <f>E10-E56</f>
        <v>-254.10013112765955</v>
      </c>
    </row>
    <row r="60" spans="1:6">
      <c r="A60" s="13" t="s">
        <v>75</v>
      </c>
      <c r="B60" s="13">
        <v>15</v>
      </c>
      <c r="C60" s="13" t="s">
        <v>48</v>
      </c>
      <c r="D60" s="2">
        <f>Operator_Labor</f>
        <v>15</v>
      </c>
      <c r="E60" s="2">
        <f>B60*D60</f>
        <v>225</v>
      </c>
    </row>
    <row r="61" spans="1:6" ht="13" thickBot="1">
      <c r="A61" s="76"/>
      <c r="B61" s="76"/>
      <c r="C61" s="76"/>
      <c r="D61" s="76"/>
      <c r="E61" s="76"/>
    </row>
    <row r="62" spans="1:6" ht="13" thickBot="1">
      <c r="A62" s="75" t="s">
        <v>49</v>
      </c>
      <c r="B62" s="76"/>
      <c r="C62" s="76"/>
      <c r="D62" s="76"/>
      <c r="E62" s="77">
        <f>E58-E60</f>
        <v>-479.10013112765955</v>
      </c>
    </row>
    <row r="64" spans="1:6" ht="6.75" customHeight="1"/>
    <row r="65" spans="1:1">
      <c r="A65" s="17" t="s">
        <v>248</v>
      </c>
    </row>
    <row r="66" spans="1:1">
      <c r="A66" s="17" t="s">
        <v>249</v>
      </c>
    </row>
    <row r="67" spans="1:1">
      <c r="A67" s="17" t="s">
        <v>78</v>
      </c>
    </row>
    <row r="68" spans="1:1">
      <c r="A68" s="17" t="s">
        <v>104</v>
      </c>
    </row>
    <row r="69" spans="1:1">
      <c r="A69" s="17" t="s">
        <v>245</v>
      </c>
    </row>
    <row r="70" spans="1:1">
      <c r="A70" s="17" t="s">
        <v>250</v>
      </c>
    </row>
    <row r="71" spans="1:1">
      <c r="A71" s="17" t="s">
        <v>252</v>
      </c>
    </row>
    <row r="72" spans="1:1">
      <c r="A72" s="17" t="s">
        <v>288</v>
      </c>
    </row>
    <row r="73" spans="1:1">
      <c r="A73" s="17" t="s">
        <v>299</v>
      </c>
    </row>
    <row r="101" spans="1:1">
      <c r="A101" s="12"/>
    </row>
    <row r="102" spans="1:1">
      <c r="A102" s="14"/>
    </row>
    <row r="103" spans="1:1">
      <c r="A103" s="14"/>
    </row>
  </sheetData>
  <phoneticPr fontId="11" type="noConversion"/>
  <printOptions gridLines="1"/>
  <pageMargins left="0.75" right="0.75" top="1" bottom="1" header="0.5" footer="0.5"/>
  <pageSetup scale="66"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L103"/>
  <sheetViews>
    <sheetView workbookViewId="0">
      <selection activeCell="M5" sqref="M5"/>
    </sheetView>
  </sheetViews>
  <sheetFormatPr baseColWidth="10" defaultColWidth="8.83203125" defaultRowHeight="12" x14ac:dyDescent="0"/>
  <cols>
    <col min="1" max="1" width="31.83203125" style="13" customWidth="1"/>
    <col min="2" max="2" width="7.83203125" style="13" customWidth="1"/>
    <col min="3" max="3" width="5.33203125" style="13" customWidth="1"/>
    <col min="4" max="4" width="8.5" style="13" customWidth="1"/>
    <col min="5" max="5" width="9.5" style="13" customWidth="1"/>
    <col min="6" max="6" width="3" style="13" customWidth="1"/>
    <col min="7" max="8" width="8.83203125" style="13"/>
    <col min="9" max="9" width="8.83203125" style="13" hidden="1" customWidth="1"/>
    <col min="10" max="10" width="1.5" style="13" customWidth="1"/>
    <col min="11" max="11" width="8.83203125" style="13" customWidth="1"/>
    <col min="12" max="16384" width="8.83203125" style="13"/>
  </cols>
  <sheetData>
    <row r="1" spans="1:12">
      <c r="A1" s="12" t="s">
        <v>107</v>
      </c>
      <c r="I1" s="12"/>
      <c r="J1" s="14"/>
      <c r="L1" s="15"/>
    </row>
    <row r="2" spans="1:12">
      <c r="A2" s="12" t="s">
        <v>239</v>
      </c>
      <c r="G2" s="12"/>
      <c r="K2" s="14"/>
      <c r="L2" s="12"/>
    </row>
    <row r="3" spans="1:12">
      <c r="A3" s="12" t="s">
        <v>287</v>
      </c>
      <c r="G3" s="12"/>
    </row>
    <row r="4" spans="1:12">
      <c r="A4" s="12" t="s">
        <v>296</v>
      </c>
    </row>
    <row r="5" spans="1:12">
      <c r="A5" s="12" t="s">
        <v>297</v>
      </c>
    </row>
    <row r="6" spans="1:12">
      <c r="B6" s="103" t="s">
        <v>2</v>
      </c>
      <c r="C6" s="103" t="s">
        <v>3</v>
      </c>
      <c r="D6" s="103" t="s">
        <v>4</v>
      </c>
      <c r="E6" s="103" t="s">
        <v>5</v>
      </c>
    </row>
    <row r="7" spans="1:12">
      <c r="A7" s="12" t="s">
        <v>6</v>
      </c>
      <c r="B7" s="110"/>
      <c r="C7" s="105" t="s">
        <v>84</v>
      </c>
      <c r="D7" s="105"/>
      <c r="E7" s="105"/>
      <c r="G7" s="12"/>
      <c r="H7" s="14"/>
    </row>
    <row r="8" spans="1:12">
      <c r="A8" s="14" t="s">
        <v>108</v>
      </c>
      <c r="B8" s="107">
        <v>700</v>
      </c>
      <c r="C8" s="105" t="s">
        <v>29</v>
      </c>
      <c r="D8" s="102">
        <v>10</v>
      </c>
      <c r="E8" s="102">
        <f>B8*D8</f>
        <v>7000</v>
      </c>
      <c r="F8" s="17" t="s">
        <v>9</v>
      </c>
      <c r="G8" s="12" t="s">
        <v>105</v>
      </c>
      <c r="K8" s="12">
        <v>10</v>
      </c>
    </row>
    <row r="9" spans="1:12">
      <c r="D9" s="102"/>
      <c r="E9" s="102">
        <f>B9*D9</f>
        <v>0</v>
      </c>
      <c r="G9" s="12" t="s">
        <v>106</v>
      </c>
      <c r="H9" s="12"/>
      <c r="I9" s="12"/>
      <c r="J9" s="12"/>
      <c r="K9" s="12">
        <v>6.25</v>
      </c>
    </row>
    <row r="10" spans="1:12" ht="15" customHeight="1">
      <c r="A10" s="13" t="s">
        <v>58</v>
      </c>
      <c r="D10" s="105"/>
      <c r="E10" s="109">
        <f>SUM(E8:E9)</f>
        <v>7000</v>
      </c>
    </row>
    <row r="11" spans="1:12">
      <c r="A11" s="67"/>
      <c r="B11" s="67"/>
      <c r="C11" s="67"/>
      <c r="D11" s="67"/>
      <c r="E11" s="67"/>
    </row>
    <row r="12" spans="1:12" ht="19" customHeight="1">
      <c r="A12" s="12" t="s">
        <v>10</v>
      </c>
    </row>
    <row r="13" spans="1:12">
      <c r="A13" s="13" t="s">
        <v>11</v>
      </c>
    </row>
    <row r="14" spans="1:12">
      <c r="A14" s="14" t="s">
        <v>109</v>
      </c>
      <c r="B14" s="22">
        <v>4356</v>
      </c>
      <c r="C14" s="14" t="s">
        <v>94</v>
      </c>
      <c r="D14" s="2">
        <v>0.2</v>
      </c>
      <c r="E14" s="2">
        <f t="shared" ref="E14:E19" si="0">B14*D14</f>
        <v>871.2</v>
      </c>
    </row>
    <row r="15" spans="1:12">
      <c r="A15" s="13" t="s">
        <v>61</v>
      </c>
      <c r="B15" s="13">
        <v>130</v>
      </c>
      <c r="C15" s="13" t="s">
        <v>15</v>
      </c>
      <c r="D15" s="2">
        <v>0.4</v>
      </c>
      <c r="E15" s="2">
        <f t="shared" si="0"/>
        <v>52</v>
      </c>
    </row>
    <row r="16" spans="1:12">
      <c r="A16" s="13" t="s">
        <v>93</v>
      </c>
      <c r="B16" s="13">
        <v>75</v>
      </c>
      <c r="C16" s="13" t="s">
        <v>15</v>
      </c>
      <c r="D16" s="2">
        <v>0.3</v>
      </c>
      <c r="E16" s="2">
        <f t="shared" si="0"/>
        <v>22.5</v>
      </c>
    </row>
    <row r="17" spans="1:7">
      <c r="A17" s="14" t="s">
        <v>63</v>
      </c>
      <c r="B17" s="22">
        <v>387</v>
      </c>
      <c r="C17" s="13" t="s">
        <v>15</v>
      </c>
      <c r="D17" s="2">
        <v>0.45</v>
      </c>
      <c r="E17" s="2">
        <f t="shared" si="0"/>
        <v>174.15</v>
      </c>
      <c r="F17" s="13" t="s">
        <v>83</v>
      </c>
    </row>
    <row r="18" spans="1:7">
      <c r="A18" s="13" t="s">
        <v>64</v>
      </c>
      <c r="B18" s="13">
        <v>1</v>
      </c>
      <c r="C18" s="13" t="s">
        <v>19</v>
      </c>
      <c r="D18" s="2">
        <v>229</v>
      </c>
      <c r="E18" s="2">
        <f t="shared" si="0"/>
        <v>229</v>
      </c>
      <c r="F18" s="17"/>
    </row>
    <row r="19" spans="1:7">
      <c r="A19" s="13" t="s">
        <v>65</v>
      </c>
      <c r="B19" s="13">
        <v>1</v>
      </c>
      <c r="C19" s="13" t="s">
        <v>19</v>
      </c>
      <c r="D19" s="2">
        <v>326</v>
      </c>
      <c r="E19" s="2">
        <f t="shared" si="0"/>
        <v>326</v>
      </c>
      <c r="F19" s="17"/>
    </row>
    <row r="20" spans="1:7">
      <c r="A20" s="13" t="s">
        <v>92</v>
      </c>
      <c r="B20" s="13">
        <v>1</v>
      </c>
      <c r="C20" s="13" t="s">
        <v>91</v>
      </c>
      <c r="D20" s="2">
        <v>75</v>
      </c>
      <c r="E20" s="2">
        <f>B20*D20</f>
        <v>75</v>
      </c>
    </row>
    <row r="21" spans="1:7">
      <c r="A21" s="13" t="s">
        <v>18</v>
      </c>
      <c r="B21" s="13">
        <v>1</v>
      </c>
      <c r="C21" s="13" t="s">
        <v>19</v>
      </c>
      <c r="D21" s="2">
        <v>56.49</v>
      </c>
      <c r="E21" s="2">
        <f t="shared" ref="E21:E23" si="1">B21*D21</f>
        <v>56.49</v>
      </c>
      <c r="F21" s="17"/>
    </row>
    <row r="22" spans="1:7">
      <c r="A22" s="13" t="s">
        <v>21</v>
      </c>
      <c r="B22" s="13">
        <v>1</v>
      </c>
      <c r="C22" s="13" t="s">
        <v>19</v>
      </c>
      <c r="D22" s="2">
        <v>124.49</v>
      </c>
      <c r="E22" s="2">
        <f t="shared" si="1"/>
        <v>124.49</v>
      </c>
      <c r="F22" s="17" t="s">
        <v>20</v>
      </c>
    </row>
    <row r="23" spans="1:7">
      <c r="A23" s="13" t="s">
        <v>22</v>
      </c>
      <c r="B23" s="13">
        <v>1</v>
      </c>
      <c r="C23" s="13" t="s">
        <v>19</v>
      </c>
      <c r="D23" s="2">
        <v>182.56</v>
      </c>
      <c r="E23" s="2">
        <f t="shared" si="1"/>
        <v>182.56</v>
      </c>
      <c r="F23" s="17" t="s">
        <v>20</v>
      </c>
    </row>
    <row r="24" spans="1:7">
      <c r="A24" s="13" t="s">
        <v>66</v>
      </c>
      <c r="B24" s="13">
        <v>1</v>
      </c>
      <c r="C24" s="13" t="s">
        <v>19</v>
      </c>
      <c r="D24" s="2">
        <v>50</v>
      </c>
      <c r="E24" s="2">
        <f>B24*D24</f>
        <v>50</v>
      </c>
      <c r="F24" s="17" t="s">
        <v>32</v>
      </c>
    </row>
    <row r="25" spans="1:7">
      <c r="A25" s="13" t="s">
        <v>67</v>
      </c>
      <c r="B25" s="13">
        <v>10</v>
      </c>
      <c r="C25" s="13" t="s">
        <v>48</v>
      </c>
      <c r="D25" s="2">
        <f>Hired_Labor</f>
        <v>12.5</v>
      </c>
      <c r="E25" s="2">
        <f>B25*D25</f>
        <v>125</v>
      </c>
      <c r="F25" s="17"/>
      <c r="G25" s="14"/>
    </row>
    <row r="26" spans="1:7">
      <c r="A26" s="13" t="s">
        <v>23</v>
      </c>
      <c r="B26" s="68">
        <v>1</v>
      </c>
      <c r="C26" s="68" t="s">
        <v>19</v>
      </c>
      <c r="D26" s="53">
        <v>43.61</v>
      </c>
      <c r="E26" s="53">
        <f>B26*D26</f>
        <v>43.61</v>
      </c>
      <c r="F26" s="17" t="s">
        <v>24</v>
      </c>
    </row>
    <row r="27" spans="1:7">
      <c r="A27" s="12" t="s">
        <v>25</v>
      </c>
      <c r="E27" s="18">
        <f>SUM(E14:E26)</f>
        <v>2332.0000000000005</v>
      </c>
    </row>
    <row r="29" spans="1:7" ht="14" customHeight="1">
      <c r="A29" s="67"/>
      <c r="B29" s="67"/>
      <c r="C29" s="67"/>
      <c r="D29" s="67"/>
      <c r="E29" s="67"/>
    </row>
    <row r="30" spans="1:7" ht="19" customHeight="1">
      <c r="A30" s="12" t="s">
        <v>26</v>
      </c>
    </row>
    <row r="31" spans="1:7">
      <c r="A31" s="13" t="s">
        <v>68</v>
      </c>
      <c r="B31" s="13">
        <v>18</v>
      </c>
      <c r="C31" s="13" t="s">
        <v>69</v>
      </c>
      <c r="D31" s="2">
        <f>Hired_Labor</f>
        <v>12.5</v>
      </c>
      <c r="E31" s="2">
        <f>B31*D31</f>
        <v>225</v>
      </c>
    </row>
    <row r="32" spans="1:7">
      <c r="A32" s="13" t="s">
        <v>89</v>
      </c>
      <c r="D32" s="2"/>
    </row>
    <row r="33" spans="1:7">
      <c r="A33" s="14" t="s">
        <v>101</v>
      </c>
      <c r="B33" s="25">
        <f>B8</f>
        <v>700</v>
      </c>
      <c r="C33" s="14" t="s">
        <v>102</v>
      </c>
      <c r="D33" s="2">
        <f>Hired_Labor/K8</f>
        <v>1.25</v>
      </c>
      <c r="E33" s="2">
        <f>B33*D33</f>
        <v>875</v>
      </c>
      <c r="F33" s="17" t="s">
        <v>71</v>
      </c>
      <c r="G33" s="14"/>
    </row>
    <row r="34" spans="1:7">
      <c r="A34" s="14" t="s">
        <v>103</v>
      </c>
      <c r="B34" s="25">
        <f>B8</f>
        <v>700</v>
      </c>
      <c r="C34" s="14" t="s">
        <v>102</v>
      </c>
      <c r="D34" s="2">
        <f>Hired_Labor/K9</f>
        <v>2</v>
      </c>
      <c r="E34" s="2">
        <f>B34*D34</f>
        <v>1400</v>
      </c>
      <c r="F34" s="17" t="s">
        <v>71</v>
      </c>
      <c r="G34" s="14"/>
    </row>
    <row r="35" spans="1:7">
      <c r="A35" s="14" t="s">
        <v>73</v>
      </c>
      <c r="B35" s="25">
        <f>B8</f>
        <v>700</v>
      </c>
      <c r="C35" s="14" t="s">
        <v>29</v>
      </c>
      <c r="D35" s="2">
        <v>1.4</v>
      </c>
      <c r="E35" s="2">
        <f>B35*D35</f>
        <v>979.99999999999989</v>
      </c>
      <c r="F35" s="17"/>
      <c r="G35" s="14"/>
    </row>
    <row r="36" spans="1:7">
      <c r="A36" s="13" t="s">
        <v>34</v>
      </c>
      <c r="B36" s="30">
        <f>Marketing_Pct</f>
        <v>0.1</v>
      </c>
      <c r="C36" s="13" t="s">
        <v>35</v>
      </c>
      <c r="D36" s="2"/>
      <c r="E36" s="2">
        <f>B36*E10</f>
        <v>700</v>
      </c>
    </row>
    <row r="37" spans="1:7">
      <c r="A37" s="13" t="s">
        <v>85</v>
      </c>
      <c r="B37" s="81">
        <f>B8</f>
        <v>700</v>
      </c>
      <c r="C37" s="82" t="s">
        <v>29</v>
      </c>
      <c r="D37" s="53">
        <v>7.0000000000000007E-2</v>
      </c>
      <c r="E37" s="53">
        <f>B37*D37</f>
        <v>49.000000000000007</v>
      </c>
      <c r="F37" s="17" t="s">
        <v>24</v>
      </c>
    </row>
    <row r="39" spans="1:7">
      <c r="A39" s="12" t="s">
        <v>36</v>
      </c>
      <c r="E39" s="18">
        <f>SUM(E31:E37)</f>
        <v>4229</v>
      </c>
    </row>
    <row r="41" spans="1:7">
      <c r="A41" s="13" t="s">
        <v>37</v>
      </c>
      <c r="E41" s="27">
        <f>(Interest_Pct*0.5*E27)+(Interest_Pct*0.25*E39)</f>
        <v>133.39500000000001</v>
      </c>
    </row>
    <row r="43" spans="1:7">
      <c r="A43" s="12" t="s">
        <v>38</v>
      </c>
      <c r="B43" s="12"/>
      <c r="C43" s="12"/>
      <c r="D43" s="12"/>
      <c r="E43" s="18">
        <f>SUM(E27+E39+E41)</f>
        <v>6694.3950000000004</v>
      </c>
    </row>
    <row r="45" spans="1:7">
      <c r="A45" s="70" t="s">
        <v>39</v>
      </c>
      <c r="B45" s="71"/>
      <c r="C45" s="71"/>
      <c r="D45" s="71"/>
      <c r="E45" s="72">
        <f>E10-E43</f>
        <v>305.60499999999956</v>
      </c>
    </row>
    <row r="47" spans="1:7" ht="12" customHeight="1">
      <c r="A47" s="67"/>
      <c r="B47" s="67"/>
      <c r="C47" s="67"/>
      <c r="D47" s="67"/>
      <c r="E47" s="67"/>
    </row>
    <row r="48" spans="1:7" ht="19" customHeight="1">
      <c r="A48" s="12" t="s">
        <v>40</v>
      </c>
    </row>
    <row r="49" spans="1:6">
      <c r="A49" s="13" t="s">
        <v>41</v>
      </c>
      <c r="E49" s="2">
        <v>68.989999999999995</v>
      </c>
      <c r="F49" s="17" t="s">
        <v>24</v>
      </c>
    </row>
    <row r="50" spans="1:6">
      <c r="A50" s="13" t="s">
        <v>74</v>
      </c>
      <c r="E50" s="2">
        <v>328.4</v>
      </c>
      <c r="F50" s="13" t="s">
        <v>32</v>
      </c>
    </row>
    <row r="51" spans="1:6">
      <c r="A51" s="13" t="s">
        <v>42</v>
      </c>
      <c r="E51" s="2">
        <v>5</v>
      </c>
    </row>
    <row r="52" spans="1:6">
      <c r="A52" s="13" t="s">
        <v>43</v>
      </c>
      <c r="B52" s="68"/>
      <c r="C52" s="68"/>
      <c r="D52" s="68"/>
      <c r="E52" s="53">
        <f>0.01*E43</f>
        <v>66.943950000000001</v>
      </c>
    </row>
    <row r="54" spans="1:6">
      <c r="A54" s="12" t="s">
        <v>44</v>
      </c>
      <c r="E54" s="10">
        <f>SUM(E49:E53)</f>
        <v>469.33394999999996</v>
      </c>
    </row>
    <row r="56" spans="1:6">
      <c r="A56" s="12" t="s">
        <v>45</v>
      </c>
      <c r="E56" s="18">
        <f>E43+E54</f>
        <v>7163.7289500000006</v>
      </c>
    </row>
    <row r="58" spans="1:6">
      <c r="A58" s="70" t="s">
        <v>46</v>
      </c>
      <c r="B58" s="71"/>
      <c r="C58" s="71"/>
      <c r="D58" s="71"/>
      <c r="E58" s="74">
        <f>E10-E56</f>
        <v>-163.72895000000062</v>
      </c>
    </row>
    <row r="60" spans="1:6">
      <c r="A60" s="73" t="s">
        <v>75</v>
      </c>
      <c r="B60" s="73">
        <v>15</v>
      </c>
      <c r="C60" s="73" t="s">
        <v>48</v>
      </c>
      <c r="D60" s="43">
        <f>Operator_Labor</f>
        <v>15</v>
      </c>
      <c r="E60" s="43">
        <f>B60*D60</f>
        <v>225</v>
      </c>
    </row>
    <row r="61" spans="1:6" ht="13" thickBot="1">
      <c r="A61" s="76"/>
      <c r="B61" s="76"/>
      <c r="C61" s="76"/>
      <c r="D61" s="76"/>
      <c r="E61" s="76"/>
    </row>
    <row r="62" spans="1:6" ht="13" thickBot="1">
      <c r="A62" s="75" t="s">
        <v>49</v>
      </c>
      <c r="B62" s="76"/>
      <c r="C62" s="76"/>
      <c r="D62" s="76"/>
      <c r="E62" s="77">
        <f>E58-E60</f>
        <v>-388.72895000000062</v>
      </c>
    </row>
    <row r="64" spans="1:6" ht="6.75" customHeight="1"/>
    <row r="65" spans="1:1">
      <c r="A65" s="17" t="s">
        <v>248</v>
      </c>
    </row>
    <row r="66" spans="1:1">
      <c r="A66" s="17" t="s">
        <v>253</v>
      </c>
    </row>
    <row r="67" spans="1:1">
      <c r="A67" s="17" t="s">
        <v>78</v>
      </c>
    </row>
    <row r="68" spans="1:1">
      <c r="A68" s="17" t="s">
        <v>110</v>
      </c>
    </row>
    <row r="69" spans="1:1">
      <c r="A69" s="17" t="s">
        <v>254</v>
      </c>
    </row>
    <row r="70" spans="1:1">
      <c r="A70" s="17" t="s">
        <v>250</v>
      </c>
    </row>
    <row r="71" spans="1:1">
      <c r="A71" s="17" t="s">
        <v>255</v>
      </c>
    </row>
    <row r="72" spans="1:1">
      <c r="A72" s="17" t="s">
        <v>288</v>
      </c>
    </row>
    <row r="73" spans="1:1">
      <c r="A73" s="17" t="s">
        <v>298</v>
      </c>
    </row>
    <row r="101" spans="1:1">
      <c r="A101" s="12"/>
    </row>
    <row r="102" spans="1:1">
      <c r="A102" s="14"/>
    </row>
    <row r="103" spans="1:1">
      <c r="A103" s="14"/>
    </row>
  </sheetData>
  <phoneticPr fontId="11" type="noConversion"/>
  <printOptions gridLines="1"/>
  <pageMargins left="0.75" right="0.75" top="1" bottom="1" header="0.5" footer="0.5"/>
  <pageSetup scale="7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L104"/>
  <sheetViews>
    <sheetView workbookViewId="0">
      <selection activeCell="H17" sqref="H17"/>
    </sheetView>
  </sheetViews>
  <sheetFormatPr baseColWidth="10" defaultColWidth="8.83203125" defaultRowHeight="12" x14ac:dyDescent="0"/>
  <cols>
    <col min="1" max="1" width="26.83203125" customWidth="1"/>
    <col min="2" max="2" width="7.33203125" customWidth="1"/>
    <col min="3" max="3" width="5.6640625" customWidth="1"/>
    <col min="4" max="4" width="8.6640625" customWidth="1"/>
    <col min="5" max="5" width="9.6640625" customWidth="1"/>
    <col min="6" max="6" width="4" customWidth="1"/>
    <col min="7" max="7" width="8.83203125" style="13"/>
    <col min="8" max="8" width="8.83203125" style="13" customWidth="1"/>
    <col min="9" max="9" width="8.83203125" style="13" hidden="1" customWidth="1"/>
    <col min="10" max="10" width="2" style="13" customWidth="1"/>
    <col min="11" max="11" width="6.6640625" style="13" customWidth="1"/>
    <col min="12" max="12" width="8.83203125" style="13"/>
  </cols>
  <sheetData>
    <row r="1" spans="1:12">
      <c r="A1" s="1" t="s">
        <v>111</v>
      </c>
      <c r="I1" s="12"/>
      <c r="J1" s="14"/>
      <c r="L1" s="15"/>
    </row>
    <row r="2" spans="1:12">
      <c r="A2" s="1" t="s">
        <v>239</v>
      </c>
      <c r="G2" s="12"/>
      <c r="K2" s="14"/>
      <c r="L2" s="12"/>
    </row>
    <row r="3" spans="1:12">
      <c r="A3" s="1" t="s">
        <v>287</v>
      </c>
      <c r="G3" s="12"/>
    </row>
    <row r="4" spans="1:12">
      <c r="A4" s="1" t="s">
        <v>296</v>
      </c>
    </row>
    <row r="5" spans="1:12">
      <c r="A5" s="1" t="s">
        <v>297</v>
      </c>
    </row>
    <row r="6" spans="1:12">
      <c r="B6" s="100" t="s">
        <v>2</v>
      </c>
      <c r="C6" s="100" t="s">
        <v>3</v>
      </c>
      <c r="D6" s="100" t="s">
        <v>4</v>
      </c>
      <c r="E6" s="100" t="s">
        <v>5</v>
      </c>
    </row>
    <row r="7" spans="1:12">
      <c r="A7" s="1" t="s">
        <v>6</v>
      </c>
      <c r="B7" s="111"/>
      <c r="C7" s="101" t="s">
        <v>84</v>
      </c>
      <c r="D7" s="101"/>
      <c r="E7" s="101"/>
      <c r="G7" s="12"/>
      <c r="H7" s="14"/>
    </row>
    <row r="8" spans="1:12">
      <c r="A8" t="s">
        <v>112</v>
      </c>
      <c r="B8" s="112">
        <v>600</v>
      </c>
      <c r="C8" s="101" t="s">
        <v>29</v>
      </c>
      <c r="D8" s="102">
        <v>13.5</v>
      </c>
      <c r="E8" s="102">
        <f>B8*D8</f>
        <v>8100</v>
      </c>
      <c r="F8" s="4" t="s">
        <v>79</v>
      </c>
      <c r="G8" s="12" t="s">
        <v>105</v>
      </c>
      <c r="K8" s="12">
        <v>2.63</v>
      </c>
    </row>
    <row r="9" spans="1:12">
      <c r="D9" s="102"/>
      <c r="E9" s="102">
        <f>B9*D9</f>
        <v>0</v>
      </c>
      <c r="G9" s="12" t="s">
        <v>106</v>
      </c>
      <c r="H9" s="12"/>
      <c r="I9" s="12"/>
      <c r="J9" s="12"/>
      <c r="K9" s="12">
        <v>25</v>
      </c>
    </row>
    <row r="10" spans="1:12" ht="15" customHeight="1">
      <c r="A10" t="s">
        <v>58</v>
      </c>
      <c r="D10" s="101"/>
      <c r="E10" s="113">
        <f>SUM(E8:E9)</f>
        <v>8100</v>
      </c>
    </row>
    <row r="11" spans="1:12">
      <c r="A11" s="51"/>
      <c r="B11" s="51"/>
      <c r="C11" s="51"/>
      <c r="D11" s="51"/>
      <c r="E11" s="51"/>
    </row>
    <row r="12" spans="1:12" ht="19" customHeight="1">
      <c r="A12" s="1" t="s">
        <v>10</v>
      </c>
    </row>
    <row r="13" spans="1:12">
      <c r="A13" t="s">
        <v>11</v>
      </c>
    </row>
    <row r="14" spans="1:12">
      <c r="A14" s="3" t="s">
        <v>113</v>
      </c>
      <c r="B14" s="31">
        <v>10</v>
      </c>
      <c r="C14" s="3" t="s">
        <v>15</v>
      </c>
      <c r="D14" s="2">
        <v>10</v>
      </c>
      <c r="E14" s="2">
        <f t="shared" ref="E14:E23" si="0">B14*D14</f>
        <v>100</v>
      </c>
    </row>
    <row r="15" spans="1:12">
      <c r="A15" s="3" t="s">
        <v>114</v>
      </c>
      <c r="B15" s="31">
        <v>10890</v>
      </c>
      <c r="C15" s="3" t="s">
        <v>94</v>
      </c>
      <c r="D15" s="2">
        <v>0.1</v>
      </c>
      <c r="E15" s="2">
        <f t="shared" si="0"/>
        <v>1089</v>
      </c>
    </row>
    <row r="16" spans="1:12">
      <c r="A16" t="s">
        <v>61</v>
      </c>
      <c r="B16">
        <v>100</v>
      </c>
      <c r="C16" t="s">
        <v>15</v>
      </c>
      <c r="D16" s="2">
        <v>0.4</v>
      </c>
      <c r="E16" s="2">
        <f t="shared" si="0"/>
        <v>40</v>
      </c>
    </row>
    <row r="17" spans="1:7">
      <c r="A17" t="s">
        <v>93</v>
      </c>
      <c r="B17">
        <v>50</v>
      </c>
      <c r="C17" t="s">
        <v>15</v>
      </c>
      <c r="D17" s="2">
        <v>0.3</v>
      </c>
      <c r="E17" s="2">
        <f t="shared" si="0"/>
        <v>15</v>
      </c>
    </row>
    <row r="18" spans="1:7">
      <c r="A18" s="3" t="s">
        <v>115</v>
      </c>
      <c r="B18" s="31">
        <v>80</v>
      </c>
      <c r="C18" t="s">
        <v>15</v>
      </c>
      <c r="D18" s="2">
        <v>0.45</v>
      </c>
      <c r="E18" s="2">
        <f t="shared" si="0"/>
        <v>36</v>
      </c>
    </row>
    <row r="19" spans="1:7">
      <c r="A19" t="s">
        <v>64</v>
      </c>
      <c r="B19">
        <v>1</v>
      </c>
      <c r="C19" t="s">
        <v>19</v>
      </c>
      <c r="D19" s="2">
        <v>286</v>
      </c>
      <c r="E19" s="2">
        <f t="shared" si="0"/>
        <v>286</v>
      </c>
      <c r="F19" s="4"/>
    </row>
    <row r="20" spans="1:7">
      <c r="A20" t="s">
        <v>65</v>
      </c>
      <c r="B20">
        <v>1</v>
      </c>
      <c r="C20" t="s">
        <v>19</v>
      </c>
      <c r="D20" s="2">
        <v>390</v>
      </c>
      <c r="E20" s="2">
        <f t="shared" si="0"/>
        <v>390</v>
      </c>
      <c r="F20" s="4"/>
    </row>
    <row r="21" spans="1:7">
      <c r="A21" t="s">
        <v>18</v>
      </c>
      <c r="B21">
        <v>1</v>
      </c>
      <c r="C21" t="s">
        <v>19</v>
      </c>
      <c r="D21" s="2">
        <f>5.7</f>
        <v>5.7</v>
      </c>
      <c r="E21" s="2">
        <f t="shared" si="0"/>
        <v>5.7</v>
      </c>
      <c r="F21" s="4"/>
    </row>
    <row r="22" spans="1:7">
      <c r="A22" t="s">
        <v>21</v>
      </c>
      <c r="B22">
        <v>1</v>
      </c>
      <c r="C22" t="s">
        <v>19</v>
      </c>
      <c r="D22" s="2">
        <f>10.84</f>
        <v>10.84</v>
      </c>
      <c r="E22" s="2">
        <f t="shared" si="0"/>
        <v>10.84</v>
      </c>
      <c r="F22" s="4" t="s">
        <v>20</v>
      </c>
    </row>
    <row r="23" spans="1:7">
      <c r="A23" t="s">
        <v>22</v>
      </c>
      <c r="B23">
        <v>1</v>
      </c>
      <c r="C23" t="s">
        <v>19</v>
      </c>
      <c r="D23" s="2">
        <f>104</f>
        <v>104</v>
      </c>
      <c r="E23" s="2">
        <f t="shared" si="0"/>
        <v>104</v>
      </c>
      <c r="F23" s="4" t="s">
        <v>20</v>
      </c>
    </row>
    <row r="24" spans="1:7">
      <c r="A24" t="s">
        <v>66</v>
      </c>
      <c r="B24">
        <v>1</v>
      </c>
      <c r="C24" t="s">
        <v>19</v>
      </c>
      <c r="D24" s="2">
        <v>50</v>
      </c>
      <c r="E24" s="2">
        <f>B24*D24</f>
        <v>50</v>
      </c>
      <c r="F24" s="4" t="s">
        <v>32</v>
      </c>
    </row>
    <row r="25" spans="1:7">
      <c r="A25" t="s">
        <v>67</v>
      </c>
      <c r="B25">
        <v>10</v>
      </c>
      <c r="C25" t="s">
        <v>48</v>
      </c>
      <c r="D25" s="2">
        <f>Hired_Labor</f>
        <v>12.5</v>
      </c>
      <c r="E25" s="2">
        <f>B25*D25</f>
        <v>125</v>
      </c>
      <c r="F25" s="4"/>
      <c r="G25" s="14"/>
    </row>
    <row r="26" spans="1:7">
      <c r="A26" t="s">
        <v>23</v>
      </c>
      <c r="B26" s="52">
        <v>1</v>
      </c>
      <c r="C26" s="52" t="s">
        <v>19</v>
      </c>
      <c r="D26" s="53">
        <v>34.82</v>
      </c>
      <c r="E26" s="53">
        <f>B26*D26</f>
        <v>34.82</v>
      </c>
      <c r="F26" s="4" t="s">
        <v>24</v>
      </c>
    </row>
    <row r="27" spans="1:7">
      <c r="A27" s="1" t="s">
        <v>25</v>
      </c>
      <c r="E27" s="6">
        <f>SUM(E14:E26)</f>
        <v>2286.36</v>
      </c>
    </row>
    <row r="29" spans="1:7" ht="15" customHeight="1">
      <c r="A29" s="51"/>
      <c r="B29" s="51"/>
      <c r="C29" s="51"/>
      <c r="D29" s="51"/>
      <c r="E29" s="51"/>
    </row>
    <row r="30" spans="1:7" ht="19" customHeight="1">
      <c r="A30" s="1" t="s">
        <v>26</v>
      </c>
    </row>
    <row r="31" spans="1:7">
      <c r="A31" t="s">
        <v>68</v>
      </c>
      <c r="B31">
        <v>18</v>
      </c>
      <c r="C31" t="s">
        <v>69</v>
      </c>
      <c r="D31" s="2">
        <f>Hired_Labor</f>
        <v>12.5</v>
      </c>
      <c r="E31" s="2">
        <f>B31*D31</f>
        <v>225</v>
      </c>
    </row>
    <row r="32" spans="1:7">
      <c r="A32" t="s">
        <v>89</v>
      </c>
      <c r="D32" s="2"/>
    </row>
    <row r="33" spans="1:7">
      <c r="A33" s="3" t="s">
        <v>101</v>
      </c>
      <c r="B33" s="25">
        <f>B8</f>
        <v>600</v>
      </c>
      <c r="C33" s="3" t="s">
        <v>102</v>
      </c>
      <c r="D33" s="2">
        <f>Hired_Labor/K8</f>
        <v>4.752851711026616</v>
      </c>
      <c r="E33" s="2">
        <f>B33*D33</f>
        <v>2851.7110266159698</v>
      </c>
      <c r="F33" s="4" t="s">
        <v>71</v>
      </c>
      <c r="G33" s="14"/>
    </row>
    <row r="34" spans="1:7">
      <c r="A34" s="3" t="s">
        <v>103</v>
      </c>
      <c r="B34" s="25">
        <f>B8</f>
        <v>600</v>
      </c>
      <c r="C34" s="3" t="s">
        <v>102</v>
      </c>
      <c r="D34" s="2">
        <f>Hired_Labor/K9</f>
        <v>0.5</v>
      </c>
      <c r="E34" s="2">
        <f>B34*D34</f>
        <v>300</v>
      </c>
      <c r="F34" s="4" t="s">
        <v>71</v>
      </c>
      <c r="G34" s="14"/>
    </row>
    <row r="35" spans="1:7">
      <c r="A35" s="3" t="s">
        <v>73</v>
      </c>
      <c r="B35" s="25">
        <f>B8</f>
        <v>600</v>
      </c>
      <c r="C35" s="3" t="s">
        <v>29</v>
      </c>
      <c r="D35" s="2">
        <v>1.05</v>
      </c>
      <c r="E35" s="2">
        <f>B35*D35</f>
        <v>630</v>
      </c>
      <c r="F35" s="4"/>
      <c r="G35" s="14"/>
    </row>
    <row r="36" spans="1:7">
      <c r="A36" t="s">
        <v>34</v>
      </c>
      <c r="B36" s="30">
        <f>Marketing_Pct</f>
        <v>0.1</v>
      </c>
      <c r="C36" t="s">
        <v>35</v>
      </c>
      <c r="D36" s="2"/>
      <c r="E36" s="2">
        <f>B36*E10</f>
        <v>810</v>
      </c>
    </row>
    <row r="37" spans="1:7">
      <c r="A37" t="s">
        <v>85</v>
      </c>
      <c r="B37" s="84">
        <f>B8</f>
        <v>600</v>
      </c>
      <c r="C37" s="85" t="s">
        <v>29</v>
      </c>
      <c r="D37" s="53">
        <v>7.0000000000000007E-2</v>
      </c>
      <c r="E37" s="53">
        <f>B37*D37</f>
        <v>42.000000000000007</v>
      </c>
      <c r="F37" s="4" t="s">
        <v>24</v>
      </c>
    </row>
    <row r="39" spans="1:7">
      <c r="A39" s="1" t="s">
        <v>36</v>
      </c>
      <c r="E39" s="6">
        <f>SUM(E31:E37)</f>
        <v>4858.7110266159698</v>
      </c>
    </row>
    <row r="41" spans="1:7">
      <c r="A41" t="s">
        <v>37</v>
      </c>
      <c r="E41" s="5">
        <f>(Interest_Pct*0.5*E27)+(Interest_Pct*0.25*E39)</f>
        <v>141.47146539923955</v>
      </c>
    </row>
    <row r="43" spans="1:7">
      <c r="A43" s="1" t="s">
        <v>38</v>
      </c>
      <c r="B43" s="1"/>
      <c r="C43" s="1"/>
      <c r="D43" s="1"/>
      <c r="E43" s="6">
        <f>SUM(E27+E39+E41)</f>
        <v>7286.5424920152091</v>
      </c>
    </row>
    <row r="45" spans="1:7" ht="6" customHeight="1"/>
    <row r="46" spans="1:7">
      <c r="A46" s="55" t="s">
        <v>39</v>
      </c>
      <c r="B46" s="56"/>
      <c r="C46" s="56"/>
      <c r="D46" s="56"/>
      <c r="E46" s="57">
        <f>E10-E43</f>
        <v>813.45750798479094</v>
      </c>
    </row>
    <row r="48" spans="1:7" ht="14" customHeight="1">
      <c r="A48" s="51"/>
      <c r="B48" s="51"/>
      <c r="C48" s="51"/>
      <c r="D48" s="51"/>
      <c r="E48" s="51"/>
    </row>
    <row r="49" spans="1:6" ht="20" customHeight="1">
      <c r="A49" s="1" t="s">
        <v>40</v>
      </c>
    </row>
    <row r="50" spans="1:6">
      <c r="A50" t="s">
        <v>41</v>
      </c>
      <c r="E50" s="2">
        <v>60.05</v>
      </c>
      <c r="F50" s="4" t="s">
        <v>24</v>
      </c>
    </row>
    <row r="51" spans="1:6">
      <c r="A51" t="s">
        <v>74</v>
      </c>
      <c r="E51" s="2">
        <v>328.4</v>
      </c>
      <c r="F51" t="s">
        <v>32</v>
      </c>
    </row>
    <row r="52" spans="1:6">
      <c r="A52" t="s">
        <v>42</v>
      </c>
      <c r="E52" s="2">
        <v>5</v>
      </c>
    </row>
    <row r="53" spans="1:6">
      <c r="A53" t="s">
        <v>43</v>
      </c>
      <c r="B53" s="52"/>
      <c r="C53" s="52"/>
      <c r="D53" s="52"/>
      <c r="E53" s="53">
        <f>0.01*E43</f>
        <v>72.865424920152094</v>
      </c>
    </row>
    <row r="55" spans="1:6">
      <c r="A55" s="1" t="s">
        <v>44</v>
      </c>
      <c r="E55" s="10">
        <f>SUM(E50:E54)</f>
        <v>466.31542492015205</v>
      </c>
    </row>
    <row r="57" spans="1:6">
      <c r="A57" s="1" t="s">
        <v>45</v>
      </c>
      <c r="E57" s="6">
        <f>E43+E55</f>
        <v>7752.8579169353616</v>
      </c>
    </row>
    <row r="59" spans="1:6">
      <c r="A59" s="55" t="s">
        <v>46</v>
      </c>
      <c r="B59" s="56"/>
      <c r="C59" s="56"/>
      <c r="D59" s="56"/>
      <c r="E59" s="83">
        <f>E10-E57</f>
        <v>347.14208306463843</v>
      </c>
    </row>
    <row r="61" spans="1:6">
      <c r="A61" t="s">
        <v>75</v>
      </c>
      <c r="B61">
        <v>15</v>
      </c>
      <c r="C61" t="s">
        <v>48</v>
      </c>
      <c r="D61" s="2">
        <f>Operator_Labor</f>
        <v>15</v>
      </c>
      <c r="E61" s="2">
        <f>B61*D61</f>
        <v>225</v>
      </c>
    </row>
    <row r="62" spans="1:6" ht="13" thickBot="1">
      <c r="A62" s="44"/>
      <c r="B62" s="44"/>
      <c r="C62" s="44"/>
      <c r="D62" s="44"/>
      <c r="E62" s="44"/>
    </row>
    <row r="63" spans="1:6" ht="13" thickBot="1">
      <c r="A63" s="58" t="s">
        <v>49</v>
      </c>
      <c r="B63" s="44"/>
      <c r="C63" s="44"/>
      <c r="D63" s="44"/>
      <c r="E63" s="59">
        <f>E59-E61</f>
        <v>122.14208306463843</v>
      </c>
    </row>
    <row r="65" spans="1:1" ht="6.75" customHeight="1"/>
    <row r="66" spans="1:1">
      <c r="A66" s="4" t="s">
        <v>256</v>
      </c>
    </row>
    <row r="67" spans="1:1">
      <c r="A67" s="4" t="s">
        <v>257</v>
      </c>
    </row>
    <row r="68" spans="1:1">
      <c r="A68" s="4" t="s">
        <v>116</v>
      </c>
    </row>
    <row r="69" spans="1:1">
      <c r="A69" s="4" t="s">
        <v>110</v>
      </c>
    </row>
    <row r="70" spans="1:1">
      <c r="A70" s="4" t="s">
        <v>258</v>
      </c>
    </row>
    <row r="71" spans="1:1">
      <c r="A71" s="4" t="s">
        <v>259</v>
      </c>
    </row>
    <row r="72" spans="1:1">
      <c r="A72" s="4" t="s">
        <v>288</v>
      </c>
    </row>
    <row r="73" spans="1:1">
      <c r="A73" s="4" t="s">
        <v>300</v>
      </c>
    </row>
    <row r="102" spans="1:1">
      <c r="A102" s="1"/>
    </row>
    <row r="103" spans="1:1">
      <c r="A103" s="3"/>
    </row>
    <row r="104" spans="1:1">
      <c r="A104" s="3"/>
    </row>
  </sheetData>
  <phoneticPr fontId="11" type="noConversion"/>
  <pageMargins left="0.75" right="0.75" top="1" bottom="1" header="0.5" footer="0.5"/>
  <pageSetup scale="51"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74"/>
  <sheetViews>
    <sheetView workbookViewId="0"/>
  </sheetViews>
  <sheetFormatPr baseColWidth="10" defaultColWidth="8.83203125" defaultRowHeight="12" x14ac:dyDescent="0"/>
  <cols>
    <col min="1" max="1" width="31.33203125" customWidth="1"/>
    <col min="2" max="2" width="6.83203125" customWidth="1"/>
    <col min="3" max="3" width="5.33203125" customWidth="1"/>
    <col min="4" max="4" width="8.6640625" customWidth="1"/>
    <col min="5" max="5" width="10.6640625" customWidth="1"/>
    <col min="6" max="6" width="3" customWidth="1"/>
    <col min="7" max="7" width="8.83203125" hidden="1" customWidth="1"/>
    <col min="8" max="8" width="8.83203125" style="13"/>
    <col min="9" max="9" width="10.1640625" style="13" customWidth="1"/>
    <col min="10" max="10" width="2" style="13" hidden="1" customWidth="1"/>
    <col min="11" max="11" width="8.83203125" style="13" hidden="1" customWidth="1"/>
    <col min="12" max="12" width="12.83203125" style="13" customWidth="1"/>
    <col min="13" max="13" width="8.83203125" style="13"/>
  </cols>
  <sheetData>
    <row r="1" spans="1:13">
      <c r="A1" s="1" t="s">
        <v>136</v>
      </c>
      <c r="J1" s="12"/>
      <c r="K1" s="14"/>
      <c r="M1" s="15"/>
    </row>
    <row r="2" spans="1:13">
      <c r="A2" s="1" t="s">
        <v>239</v>
      </c>
      <c r="H2" s="12"/>
      <c r="L2" s="14"/>
      <c r="M2" s="12"/>
    </row>
    <row r="3" spans="1:13">
      <c r="A3" s="1" t="s">
        <v>287</v>
      </c>
      <c r="H3" s="12"/>
    </row>
    <row r="4" spans="1:13">
      <c r="A4" s="1" t="s">
        <v>296</v>
      </c>
      <c r="H4" s="12"/>
    </row>
    <row r="5" spans="1:13">
      <c r="A5" s="1" t="s">
        <v>297</v>
      </c>
      <c r="H5" s="12"/>
    </row>
    <row r="6" spans="1:13">
      <c r="A6" s="101"/>
      <c r="B6" s="100" t="s">
        <v>2</v>
      </c>
      <c r="C6" s="100" t="s">
        <v>3</v>
      </c>
      <c r="D6" s="100" t="s">
        <v>4</v>
      </c>
      <c r="E6" s="100" t="s">
        <v>5</v>
      </c>
    </row>
    <row r="7" spans="1:13">
      <c r="A7" s="1" t="s">
        <v>6</v>
      </c>
      <c r="B7" s="101"/>
      <c r="C7" s="101"/>
      <c r="D7" s="101"/>
      <c r="E7" s="101"/>
    </row>
    <row r="8" spans="1:13">
      <c r="A8" t="s">
        <v>117</v>
      </c>
      <c r="B8" s="114">
        <v>1500</v>
      </c>
      <c r="C8" s="101" t="s">
        <v>102</v>
      </c>
      <c r="D8" s="102">
        <v>10</v>
      </c>
      <c r="E8" s="102">
        <f>B8*D8</f>
        <v>15000</v>
      </c>
      <c r="F8" s="4" t="s">
        <v>79</v>
      </c>
      <c r="H8" s="12"/>
      <c r="I8" s="14"/>
    </row>
    <row r="9" spans="1:13">
      <c r="H9" s="12" t="s">
        <v>105</v>
      </c>
      <c r="L9" s="12">
        <v>11.36</v>
      </c>
    </row>
    <row r="10" spans="1:13">
      <c r="A10" s="51"/>
      <c r="B10" s="51"/>
      <c r="C10" s="51"/>
      <c r="D10" s="51"/>
      <c r="E10" s="51"/>
      <c r="H10" s="12" t="s">
        <v>106</v>
      </c>
      <c r="I10" s="12"/>
      <c r="J10" s="12"/>
      <c r="K10" s="12"/>
      <c r="L10" s="12">
        <v>7.14</v>
      </c>
    </row>
    <row r="11" spans="1:13" ht="20" customHeight="1">
      <c r="A11" s="1" t="s">
        <v>10</v>
      </c>
    </row>
    <row r="12" spans="1:13">
      <c r="A12" t="s">
        <v>11</v>
      </c>
    </row>
    <row r="13" spans="1:13">
      <c r="A13" t="s">
        <v>118</v>
      </c>
      <c r="B13">
        <v>14.5</v>
      </c>
      <c r="C13" s="33">
        <v>1000</v>
      </c>
      <c r="D13" s="2">
        <v>200</v>
      </c>
      <c r="E13" s="2">
        <f t="shared" ref="E13:E22" si="0">B13*D13</f>
        <v>2900</v>
      </c>
    </row>
    <row r="14" spans="1:13">
      <c r="A14" t="s">
        <v>119</v>
      </c>
      <c r="B14">
        <v>24</v>
      </c>
      <c r="C14" t="s">
        <v>69</v>
      </c>
      <c r="D14" s="2">
        <f>Hired_Labor</f>
        <v>12.5</v>
      </c>
      <c r="E14" s="2">
        <f t="shared" si="0"/>
        <v>300</v>
      </c>
    </row>
    <row r="15" spans="1:13">
      <c r="A15" s="3" t="s">
        <v>120</v>
      </c>
      <c r="B15">
        <v>100</v>
      </c>
      <c r="C15" s="3" t="s">
        <v>15</v>
      </c>
      <c r="D15" s="2">
        <v>0.4</v>
      </c>
      <c r="E15" s="2">
        <f t="shared" si="0"/>
        <v>40</v>
      </c>
    </row>
    <row r="16" spans="1:13">
      <c r="A16" s="3" t="s">
        <v>121</v>
      </c>
      <c r="B16" s="34">
        <v>9.06</v>
      </c>
      <c r="C16" s="3" t="s">
        <v>15</v>
      </c>
      <c r="D16" s="2">
        <v>3</v>
      </c>
      <c r="E16" s="2">
        <f t="shared" si="0"/>
        <v>27.18</v>
      </c>
    </row>
    <row r="17" spans="1:8">
      <c r="A17" s="3" t="s">
        <v>122</v>
      </c>
      <c r="B17">
        <f>4*B13*10</f>
        <v>580</v>
      </c>
      <c r="C17" s="3" t="s">
        <v>15</v>
      </c>
      <c r="D17" s="2">
        <v>0.45</v>
      </c>
      <c r="E17" s="2">
        <f t="shared" si="0"/>
        <v>261</v>
      </c>
      <c r="F17" t="s">
        <v>123</v>
      </c>
    </row>
    <row r="18" spans="1:8">
      <c r="A18" s="3" t="s">
        <v>124</v>
      </c>
      <c r="B18">
        <v>1</v>
      </c>
      <c r="C18" t="s">
        <v>19</v>
      </c>
      <c r="D18" s="2">
        <v>555</v>
      </c>
      <c r="E18" s="2">
        <f t="shared" si="0"/>
        <v>555</v>
      </c>
      <c r="F18" s="4" t="s">
        <v>20</v>
      </c>
    </row>
    <row r="19" spans="1:8">
      <c r="A19" s="3" t="s">
        <v>18</v>
      </c>
      <c r="B19">
        <v>1</v>
      </c>
      <c r="C19" t="s">
        <v>19</v>
      </c>
      <c r="D19" s="2">
        <v>46.5</v>
      </c>
      <c r="E19" s="2">
        <f t="shared" si="0"/>
        <v>46.5</v>
      </c>
      <c r="F19" s="4" t="s">
        <v>24</v>
      </c>
    </row>
    <row r="20" spans="1:8">
      <c r="A20" t="s">
        <v>21</v>
      </c>
      <c r="B20">
        <v>1</v>
      </c>
      <c r="C20" s="3" t="s">
        <v>19</v>
      </c>
      <c r="D20" s="2">
        <v>107.08</v>
      </c>
      <c r="E20" s="2">
        <f t="shared" si="0"/>
        <v>107.08</v>
      </c>
      <c r="F20" s="4" t="s">
        <v>24</v>
      </c>
    </row>
    <row r="21" spans="1:8">
      <c r="A21" t="s">
        <v>22</v>
      </c>
      <c r="B21">
        <v>1</v>
      </c>
      <c r="C21" s="3" t="s">
        <v>19</v>
      </c>
      <c r="D21" s="2">
        <v>495.69</v>
      </c>
      <c r="E21" s="2">
        <f t="shared" si="0"/>
        <v>495.69</v>
      </c>
      <c r="F21" s="4" t="s">
        <v>24</v>
      </c>
    </row>
    <row r="22" spans="1:8">
      <c r="A22" t="s">
        <v>66</v>
      </c>
      <c r="B22">
        <v>90</v>
      </c>
      <c r="C22" t="s">
        <v>48</v>
      </c>
      <c r="D22" s="2">
        <v>0.4</v>
      </c>
      <c r="E22" s="2">
        <f t="shared" si="0"/>
        <v>36</v>
      </c>
      <c r="F22" s="4" t="s">
        <v>32</v>
      </c>
    </row>
    <row r="23" spans="1:8">
      <c r="A23" t="s">
        <v>23</v>
      </c>
      <c r="B23" s="52">
        <v>1</v>
      </c>
      <c r="C23" s="52" t="s">
        <v>19</v>
      </c>
      <c r="D23" s="53">
        <v>46.23</v>
      </c>
      <c r="E23" s="53">
        <f>B23*D23</f>
        <v>46.23</v>
      </c>
      <c r="F23" s="4" t="s">
        <v>71</v>
      </c>
    </row>
    <row r="24" spans="1:8">
      <c r="A24" s="1" t="s">
        <v>25</v>
      </c>
      <c r="E24" s="6">
        <f>SUM(E13:E23)</f>
        <v>4814.6799999999994</v>
      </c>
    </row>
    <row r="26" spans="1:8" ht="15" customHeight="1">
      <c r="A26" s="51"/>
      <c r="B26" s="51"/>
      <c r="C26" s="51"/>
      <c r="D26" s="51"/>
      <c r="E26" s="51"/>
      <c r="H26" s="14"/>
    </row>
    <row r="27" spans="1:8" ht="20" customHeight="1">
      <c r="A27" s="1" t="s">
        <v>26</v>
      </c>
    </row>
    <row r="28" spans="1:8">
      <c r="A28" t="s">
        <v>73</v>
      </c>
      <c r="B28">
        <f>B8</f>
        <v>1500</v>
      </c>
      <c r="C28" t="s">
        <v>29</v>
      </c>
      <c r="D28" s="2">
        <v>1.4</v>
      </c>
      <c r="E28" s="2">
        <f>B28*D28</f>
        <v>2100</v>
      </c>
    </row>
    <row r="29" spans="1:8">
      <c r="A29" t="s">
        <v>125</v>
      </c>
      <c r="B29">
        <v>25</v>
      </c>
      <c r="C29" t="s">
        <v>126</v>
      </c>
      <c r="D29" s="2">
        <v>20</v>
      </c>
      <c r="E29" s="2">
        <f>B29*D29</f>
        <v>500</v>
      </c>
    </row>
    <row r="30" spans="1:8">
      <c r="A30" s="3" t="s">
        <v>127</v>
      </c>
      <c r="B30">
        <v>18</v>
      </c>
      <c r="C30" t="s">
        <v>69</v>
      </c>
      <c r="D30" s="2">
        <f>Hired_Labor</f>
        <v>12.5</v>
      </c>
      <c r="E30" s="2">
        <f>B30*D30</f>
        <v>225</v>
      </c>
    </row>
    <row r="31" spans="1:8">
      <c r="A31" s="3" t="s">
        <v>128</v>
      </c>
      <c r="D31" s="2"/>
    </row>
    <row r="32" spans="1:8">
      <c r="A32" t="s">
        <v>101</v>
      </c>
      <c r="B32" s="2">
        <f>Hired_Labor/L9</f>
        <v>1.1003521126760565</v>
      </c>
      <c r="C32" t="s">
        <v>102</v>
      </c>
      <c r="D32" s="2"/>
      <c r="E32" s="2">
        <f>B8*B32</f>
        <v>1650.5281690140848</v>
      </c>
      <c r="F32" s="4" t="s">
        <v>83</v>
      </c>
    </row>
    <row r="33" spans="1:8">
      <c r="A33" t="s">
        <v>129</v>
      </c>
      <c r="B33" s="2">
        <f>Hired_Labor/L10</f>
        <v>1.7507002801120448</v>
      </c>
      <c r="C33" t="s">
        <v>102</v>
      </c>
      <c r="D33" s="2"/>
      <c r="E33" s="2">
        <f>B8*B33</f>
        <v>2626.0504201680674</v>
      </c>
      <c r="F33" s="4" t="s">
        <v>83</v>
      </c>
    </row>
    <row r="34" spans="1:8">
      <c r="A34" t="s">
        <v>130</v>
      </c>
      <c r="B34" s="9">
        <f>Marketing_Pct</f>
        <v>0.1</v>
      </c>
      <c r="C34" t="s">
        <v>35</v>
      </c>
      <c r="D34" s="2"/>
      <c r="E34" s="2">
        <f>B34*E8</f>
        <v>1500</v>
      </c>
      <c r="H34" s="14"/>
    </row>
    <row r="35" spans="1:8">
      <c r="A35" t="s">
        <v>85</v>
      </c>
      <c r="B35" s="52">
        <f>B8</f>
        <v>1500</v>
      </c>
      <c r="C35" s="52" t="s">
        <v>29</v>
      </c>
      <c r="D35" s="53">
        <v>0.1</v>
      </c>
      <c r="E35" s="53">
        <f>B35*D35</f>
        <v>150</v>
      </c>
      <c r="F35" s="4" t="s">
        <v>71</v>
      </c>
      <c r="H35" s="14"/>
    </row>
    <row r="36" spans="1:8">
      <c r="H36" s="14"/>
    </row>
    <row r="37" spans="1:8">
      <c r="A37" s="1" t="s">
        <v>36</v>
      </c>
      <c r="E37" s="6">
        <f>SUM(E28:E35)</f>
        <v>8751.5785891821524</v>
      </c>
    </row>
    <row r="39" spans="1:8">
      <c r="A39" t="s">
        <v>37</v>
      </c>
      <c r="E39" s="5">
        <f>(Interest_Pct*0.5*E24)+(Interest_Pct*0.25*E37)</f>
        <v>275.71407883773225</v>
      </c>
    </row>
    <row r="41" spans="1:8">
      <c r="A41" s="1" t="s">
        <v>38</v>
      </c>
      <c r="B41" s="1"/>
      <c r="C41" s="1"/>
      <c r="D41" s="1"/>
      <c r="E41" s="6">
        <f>SUM(E24+E37+E39)</f>
        <v>13841.972668019884</v>
      </c>
    </row>
    <row r="43" spans="1:8" ht="6.75" customHeight="1"/>
    <row r="44" spans="1:8">
      <c r="A44" s="55" t="s">
        <v>39</v>
      </c>
      <c r="B44" s="56"/>
      <c r="C44" s="56"/>
      <c r="D44" s="56"/>
      <c r="E44" s="57">
        <f>E8-E41</f>
        <v>1158.0273319801163</v>
      </c>
    </row>
    <row r="46" spans="1:8" ht="12" customHeight="1">
      <c r="A46" s="51"/>
      <c r="B46" s="51"/>
      <c r="C46" s="51"/>
      <c r="D46" s="51"/>
      <c r="E46" s="51"/>
    </row>
    <row r="47" spans="1:8" ht="20" customHeight="1">
      <c r="A47" s="1" t="s">
        <v>40</v>
      </c>
    </row>
    <row r="48" spans="1:8">
      <c r="A48" t="s">
        <v>41</v>
      </c>
      <c r="E48" s="2">
        <v>179.16</v>
      </c>
      <c r="F48" s="4" t="s">
        <v>71</v>
      </c>
    </row>
    <row r="49" spans="1:7">
      <c r="A49" t="s">
        <v>131</v>
      </c>
      <c r="E49" s="2">
        <v>160</v>
      </c>
      <c r="F49" s="4"/>
    </row>
    <row r="50" spans="1:7">
      <c r="A50" t="s">
        <v>132</v>
      </c>
      <c r="E50" s="2">
        <v>328.4</v>
      </c>
      <c r="G50" s="3" t="s">
        <v>133</v>
      </c>
    </row>
    <row r="51" spans="1:7">
      <c r="A51" t="s">
        <v>42</v>
      </c>
      <c r="E51" s="2">
        <v>5</v>
      </c>
    </row>
    <row r="52" spans="1:7">
      <c r="A52" t="s">
        <v>43</v>
      </c>
      <c r="B52" s="52"/>
      <c r="C52" s="52"/>
      <c r="D52" s="52"/>
      <c r="E52" s="53">
        <f>0.005*E8</f>
        <v>75</v>
      </c>
    </row>
    <row r="54" spans="1:7">
      <c r="A54" s="1" t="s">
        <v>44</v>
      </c>
      <c r="E54" s="10">
        <f>SUM(E48:E53)</f>
        <v>747.56</v>
      </c>
    </row>
    <row r="56" spans="1:7">
      <c r="A56" s="1" t="s">
        <v>45</v>
      </c>
      <c r="E56" s="6">
        <f>E41+E54</f>
        <v>14589.532668019883</v>
      </c>
    </row>
    <row r="58" spans="1:7">
      <c r="A58" s="55" t="s">
        <v>46</v>
      </c>
      <c r="B58" s="56"/>
      <c r="C58" s="56"/>
      <c r="D58" s="56"/>
      <c r="E58" s="83">
        <f>E8-E56</f>
        <v>410.4673319801168</v>
      </c>
    </row>
    <row r="60" spans="1:7">
      <c r="A60" t="s">
        <v>47</v>
      </c>
      <c r="B60">
        <v>40</v>
      </c>
      <c r="C60" t="s">
        <v>48</v>
      </c>
      <c r="D60" s="2">
        <f>Operator_Labor</f>
        <v>15</v>
      </c>
      <c r="E60" s="2">
        <f>B60*D60</f>
        <v>600</v>
      </c>
    </row>
    <row r="61" spans="1:7" ht="13" thickBot="1">
      <c r="A61" s="44"/>
      <c r="B61" s="44"/>
      <c r="C61" s="44"/>
      <c r="D61" s="44"/>
      <c r="E61" s="44"/>
    </row>
    <row r="62" spans="1:7" ht="13" thickBot="1">
      <c r="A62" s="86" t="s">
        <v>49</v>
      </c>
      <c r="B62" s="87"/>
      <c r="C62" s="87"/>
      <c r="D62" s="87"/>
      <c r="E62" s="88">
        <f>E58-E60</f>
        <v>-189.5326680198832</v>
      </c>
    </row>
    <row r="64" spans="1:7" ht="6" hidden="1" customHeight="1"/>
    <row r="65" spans="1:1">
      <c r="A65" s="4" t="s">
        <v>134</v>
      </c>
    </row>
    <row r="66" spans="1:1">
      <c r="A66" s="4" t="s">
        <v>260</v>
      </c>
    </row>
    <row r="67" spans="1:1">
      <c r="A67" s="4" t="s">
        <v>135</v>
      </c>
    </row>
    <row r="68" spans="1:1">
      <c r="A68" s="4" t="s">
        <v>261</v>
      </c>
    </row>
    <row r="69" spans="1:1">
      <c r="A69" s="4" t="s">
        <v>262</v>
      </c>
    </row>
    <row r="70" spans="1:1">
      <c r="A70" s="4" t="s">
        <v>263</v>
      </c>
    </row>
    <row r="71" spans="1:1">
      <c r="A71" s="4" t="s">
        <v>264</v>
      </c>
    </row>
    <row r="72" spans="1:1">
      <c r="A72" s="4" t="s">
        <v>265</v>
      </c>
    </row>
    <row r="73" spans="1:1">
      <c r="A73" s="4" t="s">
        <v>289</v>
      </c>
    </row>
    <row r="74" spans="1:1">
      <c r="A74" s="4" t="s">
        <v>300</v>
      </c>
    </row>
  </sheetData>
  <phoneticPr fontId="11" type="noConversion"/>
  <pageMargins left="0.75" right="0.75" top="1" bottom="1" header="0.5" footer="0.5"/>
  <pageSetup scale="51" orientation="portrait" horizontalDpi="300" verticalDpi="300"/>
  <headerFooter alignWithMargins="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19</vt:i4>
      </vt:variant>
    </vt:vector>
  </HeadingPairs>
  <TitlesOfParts>
    <vt:vector size="19" baseType="lpstr">
      <vt:lpstr>Directions &amp; Variables</vt:lpstr>
      <vt:lpstr>Bean</vt:lpstr>
      <vt:lpstr>Broccoli</vt:lpstr>
      <vt:lpstr>Cabbage</vt:lpstr>
      <vt:lpstr>Cantaloupe</vt:lpstr>
      <vt:lpstr>Cucumber</vt:lpstr>
      <vt:lpstr>Eggplant</vt:lpstr>
      <vt:lpstr>Okra</vt:lpstr>
      <vt:lpstr>Bell Pepper</vt:lpstr>
      <vt:lpstr>Jalapeno Pepper</vt:lpstr>
      <vt:lpstr>Potatoes</vt:lpstr>
      <vt:lpstr>Pumpkin</vt:lpstr>
      <vt:lpstr>Squash, Winter</vt:lpstr>
      <vt:lpstr>Summer Squash</vt:lpstr>
      <vt:lpstr>Sweet Corn</vt:lpstr>
      <vt:lpstr>Sweet Potato</vt:lpstr>
      <vt:lpstr>Tomato</vt:lpstr>
      <vt:lpstr>Seedless Watermelon</vt:lpstr>
      <vt:lpstr>Seeded Watermelon</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Ernst</dc:creator>
  <cp:lastModifiedBy>Christy Cassady</cp:lastModifiedBy>
  <cp:lastPrinted>2017-11-15T15:10:04Z</cp:lastPrinted>
  <dcterms:created xsi:type="dcterms:W3CDTF">2017-09-26T14:48:12Z</dcterms:created>
  <dcterms:modified xsi:type="dcterms:W3CDTF">2017-11-20T17:05:48Z</dcterms:modified>
</cp:coreProperties>
</file>