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409"/>
  <workbookPr codeName="ThisWorkbook" autoCompressPictures="0"/>
  <mc:AlternateContent xmlns:mc="http://schemas.openxmlformats.org/markup-compatibility/2006">
    <mc:Choice Requires="x15">
      <x15ac:absPath xmlns:x15ac="http://schemas.microsoft.com/office/spreadsheetml/2010/11/ac" url="/Users/christycassady/Desktop/2022V&amp;MBudgets/"/>
    </mc:Choice>
  </mc:AlternateContent>
  <xr:revisionPtr revIDLastSave="0" documentId="13_ncr:1_{07C84D1A-203C-B04A-9E38-685291D6B69C}" xr6:coauthVersionLast="47" xr6:coauthVersionMax="47" xr10:uidLastSave="{00000000-0000-0000-0000-000000000000}"/>
  <bookViews>
    <workbookView xWindow="620" yWindow="500" windowWidth="22480" windowHeight="13240" xr2:uid="{00000000-000D-0000-FFFF-FFFF00000000}"/>
  </bookViews>
  <sheets>
    <sheet name="Directions &amp; Variables" sheetId="1" r:id="rId1"/>
    <sheet name="Bean" sheetId="2" r:id="rId2"/>
    <sheet name="Broccoli" sheetId="3" r:id="rId3"/>
    <sheet name="Cabbage" sheetId="5" r:id="rId4"/>
    <sheet name="Cantaloupe" sheetId="6" r:id="rId5"/>
    <sheet name="Cucumbers" sheetId="7" r:id="rId6"/>
    <sheet name="Eggplant" sheetId="8" r:id="rId7"/>
    <sheet name="Okra" sheetId="9" r:id="rId8"/>
    <sheet name="Bell Pepper" sheetId="10" r:id="rId9"/>
    <sheet name="Jalapeno Pepper" sheetId="11" r:id="rId10"/>
    <sheet name="Potatoes" sheetId="12" r:id="rId11"/>
    <sheet name="Pumpkin" sheetId="13" r:id="rId12"/>
    <sheet name="Winter Squash" sheetId="14" r:id="rId13"/>
    <sheet name="Summer Squash" sheetId="15" r:id="rId14"/>
    <sheet name="Sweet Corn" sheetId="16" r:id="rId15"/>
    <sheet name="Sweet Potato" sheetId="17" r:id="rId16"/>
    <sheet name="Tomato" sheetId="18" r:id="rId17"/>
    <sheet name="Seedless Watermelon" sheetId="19" r:id="rId18"/>
    <sheet name="Seeded Watermelon" sheetId="20" r:id="rId19"/>
  </sheets>
  <definedNames>
    <definedName name="Hired_Labor">'Directions &amp; Variables'!$D$21</definedName>
    <definedName name="Interest_Pct">'Directions &amp; Variables'!$D$24</definedName>
    <definedName name="Marketing_Pct">'Directions &amp; Variables'!$D$23</definedName>
    <definedName name="Operator_Labor">'Directions &amp; Variables'!$D$22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1" i="19" l="1"/>
  <c r="D25" i="19"/>
  <c r="D24" i="19"/>
  <c r="D23" i="19"/>
  <c r="E50" i="20" l="1"/>
  <c r="D24" i="20"/>
  <c r="D23" i="20"/>
  <c r="D22" i="20"/>
  <c r="E52" i="18" l="1"/>
  <c r="D24" i="18"/>
  <c r="D23" i="18"/>
  <c r="D22" i="18"/>
  <c r="D54" i="17" l="1"/>
  <c r="D31" i="17"/>
  <c r="D22" i="17"/>
  <c r="D21" i="17"/>
  <c r="D20" i="17"/>
  <c r="D19" i="17"/>
  <c r="D21" i="16" l="1"/>
  <c r="D20" i="16"/>
  <c r="D19" i="16"/>
  <c r="D23" i="15" l="1"/>
  <c r="D22" i="15"/>
  <c r="D24" i="14" l="1"/>
  <c r="D23" i="14"/>
  <c r="D22" i="14"/>
  <c r="D24" i="13" l="1"/>
  <c r="D23" i="13"/>
  <c r="D22" i="13"/>
  <c r="D22" i="12" l="1"/>
  <c r="D21" i="12"/>
  <c r="D20" i="12"/>
  <c r="D23" i="9" l="1"/>
  <c r="D22" i="9"/>
  <c r="D22" i="8" l="1"/>
  <c r="D21" i="8"/>
  <c r="D20" i="8"/>
  <c r="E47" i="7" l="1"/>
  <c r="D23" i="7"/>
  <c r="D22" i="7"/>
  <c r="E50" i="6" l="1"/>
  <c r="E47" i="5" l="1"/>
  <c r="D25" i="5"/>
  <c r="D23" i="5"/>
  <c r="D22" i="5"/>
  <c r="D21" i="5"/>
  <c r="D23" i="3"/>
  <c r="D22" i="3"/>
  <c r="D21" i="3"/>
  <c r="D22" i="2" l="1"/>
  <c r="D21" i="2"/>
  <c r="D20" i="2"/>
  <c r="E48" i="3" l="1"/>
  <c r="D32" i="3"/>
  <c r="B28" i="2" l="1"/>
  <c r="E8" i="20"/>
  <c r="E9" i="20"/>
  <c r="E10" i="20"/>
  <c r="E15" i="20"/>
  <c r="B16" i="20"/>
  <c r="E16" i="20"/>
  <c r="E17" i="20"/>
  <c r="E18" i="20"/>
  <c r="B19" i="20"/>
  <c r="E19" i="20"/>
  <c r="E20" i="20"/>
  <c r="E21" i="20"/>
  <c r="E22" i="20"/>
  <c r="E23" i="20"/>
  <c r="E24" i="20"/>
  <c r="B25" i="20"/>
  <c r="E25" i="20"/>
  <c r="E26" i="20"/>
  <c r="D27" i="20"/>
  <c r="E27" i="20" s="1"/>
  <c r="E28" i="20"/>
  <c r="D33" i="20"/>
  <c r="E33" i="20" s="1"/>
  <c r="E34" i="20"/>
  <c r="D36" i="20"/>
  <c r="E36" i="20" s="1"/>
  <c r="E37" i="20"/>
  <c r="E38" i="20"/>
  <c r="D59" i="20"/>
  <c r="E59" i="20" s="1"/>
  <c r="E8" i="19"/>
  <c r="E9" i="19"/>
  <c r="E10" i="19"/>
  <c r="E38" i="19" s="1"/>
  <c r="B15" i="19"/>
  <c r="E15" i="19" s="1"/>
  <c r="E16" i="19"/>
  <c r="B17" i="19"/>
  <c r="E17" i="19" s="1"/>
  <c r="E18" i="19"/>
  <c r="E19" i="19"/>
  <c r="B20" i="19"/>
  <c r="E20" i="19" s="1"/>
  <c r="E21" i="19"/>
  <c r="E22" i="19"/>
  <c r="E23" i="19"/>
  <c r="E24" i="19"/>
  <c r="E25" i="19"/>
  <c r="B26" i="19"/>
  <c r="E26" i="19"/>
  <c r="E27" i="19"/>
  <c r="D28" i="19"/>
  <c r="E28" i="19"/>
  <c r="E29" i="19"/>
  <c r="D34" i="19"/>
  <c r="E34" i="19" s="1"/>
  <c r="E35" i="19"/>
  <c r="D37" i="19"/>
  <c r="E37" i="19" s="1"/>
  <c r="E39" i="19"/>
  <c r="D60" i="19"/>
  <c r="E60" i="19" s="1"/>
  <c r="E8" i="18"/>
  <c r="E10" i="18"/>
  <c r="E54" i="18" s="1"/>
  <c r="E55" i="18" s="1"/>
  <c r="E15" i="18"/>
  <c r="D16" i="18"/>
  <c r="E16" i="18" s="1"/>
  <c r="E17" i="18"/>
  <c r="E18" i="18"/>
  <c r="E19" i="18"/>
  <c r="E20" i="18"/>
  <c r="E21" i="18"/>
  <c r="E22" i="18"/>
  <c r="E23" i="18"/>
  <c r="E24" i="18"/>
  <c r="E25" i="18"/>
  <c r="E26" i="18"/>
  <c r="B31" i="18"/>
  <c r="E31" i="18" s="1"/>
  <c r="E32" i="18"/>
  <c r="D33" i="18"/>
  <c r="E33" i="18" s="1"/>
  <c r="E36" i="18"/>
  <c r="E37" i="18"/>
  <c r="E39" i="18"/>
  <c r="D61" i="18"/>
  <c r="E61" i="18"/>
  <c r="E8" i="17"/>
  <c r="E10" i="17" s="1"/>
  <c r="E9" i="17"/>
  <c r="E15" i="17"/>
  <c r="E16" i="17"/>
  <c r="E17" i="17"/>
  <c r="E18" i="17"/>
  <c r="E19" i="17"/>
  <c r="E20" i="17"/>
  <c r="E21" i="17"/>
  <c r="E22" i="17"/>
  <c r="E23" i="17"/>
  <c r="E24" i="17"/>
  <c r="E29" i="17"/>
  <c r="B10" i="17"/>
  <c r="B30" i="17"/>
  <c r="B31" i="17" s="1"/>
  <c r="E31" i="17" s="1"/>
  <c r="E30" i="17"/>
  <c r="B32" i="17"/>
  <c r="E32" i="17"/>
  <c r="E54" i="17"/>
  <c r="E8" i="16"/>
  <c r="E10" i="16" s="1"/>
  <c r="E9" i="16"/>
  <c r="E15" i="16"/>
  <c r="E16" i="16"/>
  <c r="E17" i="16"/>
  <c r="E18" i="16"/>
  <c r="E19" i="16"/>
  <c r="E20" i="16"/>
  <c r="E21" i="16"/>
  <c r="E22" i="16"/>
  <c r="E27" i="16"/>
  <c r="E29" i="16"/>
  <c r="D30" i="16"/>
  <c r="E30" i="16" s="1"/>
  <c r="B31" i="16"/>
  <c r="D51" i="16"/>
  <c r="E51" i="16"/>
  <c r="E8" i="15"/>
  <c r="E10" i="15" s="1"/>
  <c r="E9" i="15"/>
  <c r="E15" i="15"/>
  <c r="E16" i="15"/>
  <c r="E17" i="15"/>
  <c r="E18" i="15"/>
  <c r="E19" i="15"/>
  <c r="E20" i="15"/>
  <c r="D21" i="15"/>
  <c r="E21" i="15" s="1"/>
  <c r="E22" i="15"/>
  <c r="E23" i="15"/>
  <c r="E24" i="15"/>
  <c r="E25" i="15"/>
  <c r="D30" i="15"/>
  <c r="E30" i="15"/>
  <c r="E32" i="15"/>
  <c r="E33" i="15"/>
  <c r="E34" i="15"/>
  <c r="B35" i="15"/>
  <c r="E36" i="15"/>
  <c r="E48" i="15"/>
  <c r="D58" i="15"/>
  <c r="E58" i="15" s="1"/>
  <c r="E8" i="14"/>
  <c r="E10" i="14" s="1"/>
  <c r="E36" i="14" s="1"/>
  <c r="E9" i="14"/>
  <c r="E15" i="14"/>
  <c r="E16" i="14"/>
  <c r="E17" i="14"/>
  <c r="E18" i="14"/>
  <c r="E19" i="14"/>
  <c r="E20" i="14"/>
  <c r="E21" i="14"/>
  <c r="E22" i="14"/>
  <c r="E23" i="14"/>
  <c r="E24" i="14"/>
  <c r="E25" i="14"/>
  <c r="D26" i="14"/>
  <c r="E26" i="14" s="1"/>
  <c r="E27" i="14"/>
  <c r="D32" i="14"/>
  <c r="E32" i="14" s="1"/>
  <c r="D34" i="14"/>
  <c r="E34" i="14"/>
  <c r="B35" i="14"/>
  <c r="E35" i="14" s="1"/>
  <c r="B36" i="14"/>
  <c r="E37" i="14"/>
  <c r="E49" i="14"/>
  <c r="D58" i="14"/>
  <c r="E58" i="14" s="1"/>
  <c r="E8" i="13"/>
  <c r="E10" i="13" s="1"/>
  <c r="E9" i="13"/>
  <c r="E15" i="13"/>
  <c r="E16" i="13"/>
  <c r="E17" i="13"/>
  <c r="E18" i="13"/>
  <c r="E19" i="13"/>
  <c r="E20" i="13"/>
  <c r="E21" i="13"/>
  <c r="E22" i="13"/>
  <c r="E23" i="13"/>
  <c r="E24" i="13"/>
  <c r="E25" i="13"/>
  <c r="D26" i="13"/>
  <c r="E26" i="13" s="1"/>
  <c r="E27" i="13"/>
  <c r="D32" i="13"/>
  <c r="E32" i="13" s="1"/>
  <c r="D34" i="13"/>
  <c r="E34" i="13"/>
  <c r="E35" i="13"/>
  <c r="B36" i="13"/>
  <c r="E36" i="13" s="1"/>
  <c r="E38" i="13" s="1"/>
  <c r="B37" i="13"/>
  <c r="E37" i="13"/>
  <c r="E49" i="13"/>
  <c r="D58" i="13"/>
  <c r="E58" i="13"/>
  <c r="E8" i="12"/>
  <c r="E10" i="12" s="1"/>
  <c r="E9" i="12"/>
  <c r="E15" i="12"/>
  <c r="E16" i="12"/>
  <c r="E17" i="12"/>
  <c r="E18" i="12"/>
  <c r="E19" i="12"/>
  <c r="E20" i="12"/>
  <c r="E21" i="12"/>
  <c r="E22" i="12"/>
  <c r="E23" i="12"/>
  <c r="E24" i="12"/>
  <c r="E30" i="12"/>
  <c r="D31" i="12"/>
  <c r="E31" i="12"/>
  <c r="D32" i="12"/>
  <c r="E32" i="12" s="1"/>
  <c r="E33" i="12"/>
  <c r="B34" i="12"/>
  <c r="D54" i="12"/>
  <c r="E54" i="12" s="1"/>
  <c r="E8" i="11"/>
  <c r="E51" i="11" s="1"/>
  <c r="E53" i="11" s="1"/>
  <c r="E9" i="11"/>
  <c r="E15" i="11"/>
  <c r="D16" i="11"/>
  <c r="E16" i="11"/>
  <c r="E17" i="11"/>
  <c r="B18" i="11"/>
  <c r="E18" i="11"/>
  <c r="B19" i="11"/>
  <c r="E19" i="11" s="1"/>
  <c r="E20" i="11"/>
  <c r="D21" i="11"/>
  <c r="E21" i="11"/>
  <c r="D22" i="11"/>
  <c r="E22" i="11" s="1"/>
  <c r="D23" i="11"/>
  <c r="E23" i="11"/>
  <c r="E24" i="11"/>
  <c r="E25" i="11"/>
  <c r="B30" i="11"/>
  <c r="E30" i="11" s="1"/>
  <c r="E37" i="11" s="1"/>
  <c r="E31" i="11"/>
  <c r="D32" i="11"/>
  <c r="E32" i="11"/>
  <c r="E34" i="11"/>
  <c r="B35" i="11"/>
  <c r="E35" i="11"/>
  <c r="E36" i="11"/>
  <c r="D59" i="11"/>
  <c r="E59" i="11" s="1"/>
  <c r="E8" i="10"/>
  <c r="E9" i="10"/>
  <c r="E10" i="10"/>
  <c r="E52" i="10" s="1"/>
  <c r="E54" i="10" s="1"/>
  <c r="E15" i="10"/>
  <c r="D16" i="10"/>
  <c r="E16" i="10"/>
  <c r="E17" i="10"/>
  <c r="E18" i="10"/>
  <c r="E19" i="10"/>
  <c r="E20" i="10"/>
  <c r="D21" i="10"/>
  <c r="E21" i="10" s="1"/>
  <c r="D22" i="10"/>
  <c r="E22" i="10"/>
  <c r="D23" i="10"/>
  <c r="E23" i="10" s="1"/>
  <c r="E24" i="10"/>
  <c r="E25" i="10"/>
  <c r="B30" i="10"/>
  <c r="E30" i="10" s="1"/>
  <c r="E31" i="10"/>
  <c r="D32" i="10"/>
  <c r="E32" i="10" s="1"/>
  <c r="E34" i="10"/>
  <c r="E35" i="10"/>
  <c r="B36" i="10"/>
  <c r="E36" i="10" s="1"/>
  <c r="E37" i="10"/>
  <c r="D60" i="10"/>
  <c r="E60" i="10" s="1"/>
  <c r="E8" i="9"/>
  <c r="E9" i="9"/>
  <c r="E10" i="9" s="1"/>
  <c r="E15" i="9"/>
  <c r="E16" i="9"/>
  <c r="E17" i="9"/>
  <c r="E18" i="9"/>
  <c r="E19" i="9"/>
  <c r="E20" i="9"/>
  <c r="D21" i="9"/>
  <c r="E21" i="9" s="1"/>
  <c r="E22" i="9"/>
  <c r="E23" i="9"/>
  <c r="E24" i="9"/>
  <c r="E25" i="9"/>
  <c r="E30" i="9"/>
  <c r="E31" i="9"/>
  <c r="E32" i="9"/>
  <c r="B33" i="9"/>
  <c r="E34" i="9"/>
  <c r="D55" i="9"/>
  <c r="E55" i="9" s="1"/>
  <c r="E8" i="8"/>
  <c r="E9" i="8"/>
  <c r="E10" i="8"/>
  <c r="E15" i="8"/>
  <c r="E16" i="8"/>
  <c r="E17" i="8"/>
  <c r="E18" i="8"/>
  <c r="E19" i="8"/>
  <c r="E20" i="8"/>
  <c r="E21" i="8"/>
  <c r="E22" i="8"/>
  <c r="E23" i="8"/>
  <c r="D24" i="8"/>
  <c r="E24" i="8"/>
  <c r="E25" i="8"/>
  <c r="D30" i="8"/>
  <c r="E30" i="8" s="1"/>
  <c r="B32" i="8"/>
  <c r="E32" i="8"/>
  <c r="B33" i="8"/>
  <c r="E33" i="8" s="1"/>
  <c r="E34" i="8"/>
  <c r="B35" i="8"/>
  <c r="E35" i="8" s="1"/>
  <c r="D57" i="8"/>
  <c r="E57" i="8"/>
  <c r="E8" i="7"/>
  <c r="E10" i="7" s="1"/>
  <c r="E9" i="7"/>
  <c r="E15" i="7"/>
  <c r="E16" i="7"/>
  <c r="E17" i="7"/>
  <c r="E18" i="7"/>
  <c r="E19" i="7"/>
  <c r="E20" i="7"/>
  <c r="D21" i="7"/>
  <c r="E21" i="7" s="1"/>
  <c r="E22" i="7"/>
  <c r="E23" i="7"/>
  <c r="E24" i="7"/>
  <c r="E25" i="7"/>
  <c r="D30" i="7"/>
  <c r="E30" i="7"/>
  <c r="E32" i="7"/>
  <c r="E33" i="7"/>
  <c r="E34" i="7"/>
  <c r="B35" i="7"/>
  <c r="E35" i="7" s="1"/>
  <c r="E36" i="7"/>
  <c r="D56" i="7"/>
  <c r="E56" i="7"/>
  <c r="E8" i="6"/>
  <c r="E10" i="6" s="1"/>
  <c r="E37" i="6" s="1"/>
  <c r="E9" i="6"/>
  <c r="E15" i="6"/>
  <c r="B16" i="6"/>
  <c r="E16" i="6" s="1"/>
  <c r="E17" i="6"/>
  <c r="E18" i="6"/>
  <c r="E19" i="6"/>
  <c r="E20" i="6"/>
  <c r="E21" i="6"/>
  <c r="D22" i="6"/>
  <c r="E22" i="6" s="1"/>
  <c r="D23" i="6"/>
  <c r="E23" i="6"/>
  <c r="D24" i="6"/>
  <c r="E24" i="6"/>
  <c r="B25" i="6"/>
  <c r="E25" i="6"/>
  <c r="E26" i="6"/>
  <c r="D27" i="6"/>
  <c r="E27" i="6" s="1"/>
  <c r="E28" i="6"/>
  <c r="D33" i="6"/>
  <c r="E33" i="6"/>
  <c r="E34" i="6"/>
  <c r="D36" i="6"/>
  <c r="E36" i="6"/>
  <c r="E38" i="6"/>
  <c r="D59" i="6"/>
  <c r="E59" i="6"/>
  <c r="E8" i="5"/>
  <c r="E10" i="5" s="1"/>
  <c r="E35" i="5" s="1"/>
  <c r="E37" i="5" s="1"/>
  <c r="E9" i="5"/>
  <c r="E15" i="5"/>
  <c r="E16" i="5"/>
  <c r="E17" i="5"/>
  <c r="E18" i="5"/>
  <c r="E19" i="5"/>
  <c r="E20" i="5"/>
  <c r="E27" i="5" s="1"/>
  <c r="E21" i="5"/>
  <c r="E22" i="5"/>
  <c r="E23" i="5"/>
  <c r="E24" i="5"/>
  <c r="E25" i="5"/>
  <c r="E26" i="5"/>
  <c r="D31" i="5"/>
  <c r="E31" i="5"/>
  <c r="D32" i="5"/>
  <c r="E32" i="5"/>
  <c r="E33" i="5"/>
  <c r="E34" i="5"/>
  <c r="B35" i="5"/>
  <c r="E36" i="5"/>
  <c r="D56" i="5"/>
  <c r="E56" i="5"/>
  <c r="E8" i="3"/>
  <c r="E10" i="3" s="1"/>
  <c r="E35" i="3" s="1"/>
  <c r="E9" i="3"/>
  <c r="E15" i="3"/>
  <c r="E16" i="3"/>
  <c r="E17" i="3"/>
  <c r="E18" i="3"/>
  <c r="E19" i="3"/>
  <c r="E20" i="3"/>
  <c r="E21" i="3"/>
  <c r="E22" i="3"/>
  <c r="E23" i="3"/>
  <c r="E24" i="3"/>
  <c r="D25" i="3"/>
  <c r="E25" i="3" s="1"/>
  <c r="E26" i="3"/>
  <c r="D31" i="3"/>
  <c r="E31" i="3" s="1"/>
  <c r="E32" i="3"/>
  <c r="E33" i="3"/>
  <c r="E34" i="3"/>
  <c r="B35" i="3"/>
  <c r="E36" i="3"/>
  <c r="D57" i="3"/>
  <c r="E57" i="3"/>
  <c r="E8" i="2"/>
  <c r="E9" i="2"/>
  <c r="E10" i="2"/>
  <c r="E46" i="2" s="1"/>
  <c r="E47" i="2" s="1"/>
  <c r="E15" i="2"/>
  <c r="E16" i="2"/>
  <c r="E17" i="2"/>
  <c r="E18" i="2"/>
  <c r="E19" i="2"/>
  <c r="E20" i="2"/>
  <c r="E21" i="2"/>
  <c r="E22" i="2"/>
  <c r="E23" i="2"/>
  <c r="D28" i="2"/>
  <c r="E28" i="2" s="1"/>
  <c r="E33" i="2" s="1"/>
  <c r="E29" i="2"/>
  <c r="D30" i="2"/>
  <c r="E30" i="2" s="1"/>
  <c r="B31" i="2"/>
  <c r="E31" i="2"/>
  <c r="B32" i="2"/>
  <c r="E32" i="2"/>
  <c r="D53" i="2"/>
  <c r="E53" i="2"/>
  <c r="E31" i="16" l="1"/>
  <c r="E44" i="16"/>
  <c r="E45" i="16" s="1"/>
  <c r="E39" i="20"/>
  <c r="E26" i="11"/>
  <c r="E46" i="17"/>
  <c r="E48" i="17" s="1"/>
  <c r="E33" i="17"/>
  <c r="E34" i="17" s="1"/>
  <c r="E36" i="17" s="1"/>
  <c r="E38" i="17" s="1"/>
  <c r="E40" i="18"/>
  <c r="E37" i="15"/>
  <c r="E33" i="9"/>
  <c r="E34" i="12"/>
  <c r="E47" i="12"/>
  <c r="E48" i="12" s="1"/>
  <c r="E26" i="10"/>
  <c r="E36" i="8"/>
  <c r="E38" i="8" s="1"/>
  <c r="E40" i="8" s="1"/>
  <c r="E35" i="15"/>
  <c r="E32" i="16"/>
  <c r="E36" i="16" s="1"/>
  <c r="E10" i="11"/>
  <c r="E43" i="11" s="1"/>
  <c r="E23" i="16"/>
  <c r="E38" i="18"/>
  <c r="E27" i="18"/>
  <c r="E37" i="7"/>
  <c r="E35" i="9"/>
  <c r="E37" i="9" s="1"/>
  <c r="E39" i="9" s="1"/>
  <c r="E39" i="6"/>
  <c r="E40" i="19"/>
  <c r="E30" i="19"/>
  <c r="E42" i="19" s="1"/>
  <c r="E44" i="19" s="1"/>
  <c r="E53" i="19" s="1"/>
  <c r="E54" i="19" s="1"/>
  <c r="E56" i="19" s="1"/>
  <c r="E58" i="19" s="1"/>
  <c r="E62" i="19" s="1"/>
  <c r="E29" i="20"/>
  <c r="E25" i="17"/>
  <c r="E34" i="16"/>
  <c r="E26" i="15"/>
  <c r="E38" i="14"/>
  <c r="E28" i="14"/>
  <c r="E40" i="14" s="1"/>
  <c r="E42" i="14" s="1"/>
  <c r="E28" i="13"/>
  <c r="E40" i="13" s="1"/>
  <c r="E42" i="13" s="1"/>
  <c r="E35" i="12"/>
  <c r="E25" i="12"/>
  <c r="E37" i="12"/>
  <c r="E39" i="12" s="1"/>
  <c r="E50" i="12" s="1"/>
  <c r="E52" i="12" s="1"/>
  <c r="E56" i="12" s="1"/>
  <c r="E39" i="11"/>
  <c r="E41" i="11" s="1"/>
  <c r="E55" i="11"/>
  <c r="E38" i="10"/>
  <c r="E40" i="10" s="1"/>
  <c r="E26" i="9"/>
  <c r="E26" i="8"/>
  <c r="E26" i="7"/>
  <c r="E39" i="7"/>
  <c r="E41" i="7" s="1"/>
  <c r="E49" i="7" s="1"/>
  <c r="E50" i="7" s="1"/>
  <c r="E29" i="6"/>
  <c r="E41" i="6"/>
  <c r="E43" i="6" s="1"/>
  <c r="E52" i="6" s="1"/>
  <c r="E53" i="6" s="1"/>
  <c r="E55" i="6" s="1"/>
  <c r="E57" i="6" s="1"/>
  <c r="E61" i="6" s="1"/>
  <c r="E39" i="5"/>
  <c r="E41" i="5" s="1"/>
  <c r="E49" i="5" s="1"/>
  <c r="E50" i="5" s="1"/>
  <c r="E52" i="5" s="1"/>
  <c r="E54" i="5" s="1"/>
  <c r="E58" i="5" s="1"/>
  <c r="E43" i="5"/>
  <c r="E27" i="3"/>
  <c r="E24" i="2"/>
  <c r="E35" i="2"/>
  <c r="E37" i="2" s="1"/>
  <c r="E37" i="3"/>
  <c r="E42" i="18" l="1"/>
  <c r="E44" i="18" s="1"/>
  <c r="E47" i="16"/>
  <c r="E49" i="16" s="1"/>
  <c r="E53" i="16" s="1"/>
  <c r="E38" i="16"/>
  <c r="E57" i="11"/>
  <c r="E61" i="11" s="1"/>
  <c r="E39" i="15"/>
  <c r="E41" i="15" s="1"/>
  <c r="E41" i="20"/>
  <c r="E43" i="20" s="1"/>
  <c r="E46" i="19"/>
  <c r="E45" i="20"/>
  <c r="E52" i="20"/>
  <c r="E53" i="20" s="1"/>
  <c r="E55" i="20" s="1"/>
  <c r="E57" i="20" s="1"/>
  <c r="E61" i="20" s="1"/>
  <c r="E50" i="17"/>
  <c r="E52" i="17" s="1"/>
  <c r="E56" i="17" s="1"/>
  <c r="E40" i="17"/>
  <c r="E51" i="14"/>
  <c r="E52" i="14" s="1"/>
  <c r="E54" i="14" s="1"/>
  <c r="E56" i="14" s="1"/>
  <c r="E60" i="14" s="1"/>
  <c r="E44" i="14"/>
  <c r="E51" i="13"/>
  <c r="E52" i="13" s="1"/>
  <c r="E54" i="13"/>
  <c r="E56" i="13" s="1"/>
  <c r="E60" i="13" s="1"/>
  <c r="E44" i="13"/>
  <c r="E41" i="12"/>
  <c r="E42" i="10"/>
  <c r="E48" i="9"/>
  <c r="E49" i="9" s="1"/>
  <c r="E41" i="9"/>
  <c r="E51" i="9"/>
  <c r="E53" i="9" s="1"/>
  <c r="E57" i="9" s="1"/>
  <c r="E42" i="8"/>
  <c r="E49" i="8"/>
  <c r="E51" i="8" s="1"/>
  <c r="E53" i="8" s="1"/>
  <c r="E55" i="8" s="1"/>
  <c r="E59" i="8" s="1"/>
  <c r="E52" i="7"/>
  <c r="E54" i="7" s="1"/>
  <c r="E58" i="7" s="1"/>
  <c r="E43" i="7"/>
  <c r="E45" i="6"/>
  <c r="E39" i="3"/>
  <c r="E41" i="3" s="1"/>
  <c r="E39" i="2"/>
  <c r="E49" i="2"/>
  <c r="E51" i="2" s="1"/>
  <c r="E55" i="2" s="1"/>
  <c r="E50" i="3"/>
  <c r="E51" i="3" s="1"/>
  <c r="E53" i="3" s="1"/>
  <c r="E55" i="3" s="1"/>
  <c r="E59" i="3" s="1"/>
  <c r="E43" i="3"/>
  <c r="E46" i="18" l="1"/>
  <c r="E57" i="18"/>
  <c r="E59" i="18" s="1"/>
  <c r="E63" i="18" s="1"/>
  <c r="E50" i="15"/>
  <c r="E52" i="15" s="1"/>
  <c r="E54" i="15" s="1"/>
  <c r="E56" i="15" s="1"/>
  <c r="E60" i="15" s="1"/>
  <c r="E43" i="15"/>
  <c r="E44" i="10"/>
  <c r="E56" i="10"/>
  <c r="E58" i="10" s="1"/>
  <c r="E62" i="10" s="1"/>
</calcChain>
</file>

<file path=xl/sharedStrings.xml><?xml version="1.0" encoding="utf-8"?>
<sst xmlns="http://schemas.openxmlformats.org/spreadsheetml/2006/main" count="1585" uniqueCount="333">
  <si>
    <t>Center for Crop Diversification Budget</t>
  </si>
  <si>
    <r>
      <t>Matt Ernst</t>
    </r>
    <r>
      <rPr>
        <vertAlign val="superscript"/>
        <sz val="10"/>
        <rFont val="Arial"/>
        <family val="2"/>
      </rPr>
      <t>1</t>
    </r>
  </si>
  <si>
    <t>Hired Labor Wage Rate</t>
  </si>
  <si>
    <t>per hour</t>
  </si>
  <si>
    <t>Operator &amp; Unpaid Family Labor</t>
  </si>
  <si>
    <t>Marketing Costs (% of Gross)</t>
  </si>
  <si>
    <t>of gross sales</t>
  </si>
  <si>
    <t>Interest Rate</t>
  </si>
  <si>
    <t>annually</t>
  </si>
  <si>
    <t>www.uky.edu/ccd</t>
  </si>
  <si>
    <r>
      <rPr>
        <vertAlign val="superscript"/>
        <sz val="8"/>
        <rFont val="Arial"/>
        <family val="2"/>
      </rPr>
      <t>1</t>
    </r>
    <r>
      <rPr>
        <sz val="8"/>
        <rFont val="Arial"/>
        <family val="2"/>
      </rPr>
      <t>Matt Ernst is an independent contractor with the Center for Crop Diversification.</t>
    </r>
  </si>
  <si>
    <t>BEANS, GREEN:  FRESH MARKET</t>
  </si>
  <si>
    <t>Quantity</t>
  </si>
  <si>
    <t>Unit</t>
  </si>
  <si>
    <t>$/Unit</t>
  </si>
  <si>
    <t>Total</t>
  </si>
  <si>
    <t>GROSS RETURNS</t>
  </si>
  <si>
    <t>Snap Beans</t>
  </si>
  <si>
    <t>pounds</t>
  </si>
  <si>
    <t>a, b</t>
  </si>
  <si>
    <t>VARIABLE COSTS</t>
  </si>
  <si>
    <t>Production</t>
  </si>
  <si>
    <t xml:space="preserve">   Fertilizer</t>
  </si>
  <si>
    <t>lbs</t>
  </si>
  <si>
    <t xml:space="preserve">   Fertilizer - Fertigation</t>
  </si>
  <si>
    <t xml:space="preserve">   Seed</t>
  </si>
  <si>
    <t xml:space="preserve">   Plastic Mulch &amp; Drip Tape</t>
  </si>
  <si>
    <t>ft</t>
  </si>
  <si>
    <t>c</t>
  </si>
  <si>
    <t xml:space="preserve">   Plant supports - twine and/or stakes/poles</t>
  </si>
  <si>
    <t>row</t>
  </si>
  <si>
    <t xml:space="preserve">   Weed Control</t>
  </si>
  <si>
    <t>d</t>
  </si>
  <si>
    <t xml:space="preserve">   Insect Control</t>
  </si>
  <si>
    <t xml:space="preserve">   Disease Control</t>
  </si>
  <si>
    <t xml:space="preserve">   Machinery Variable Costs</t>
  </si>
  <si>
    <t>e</t>
  </si>
  <si>
    <t>Total Preharvest Variable Costs</t>
  </si>
  <si>
    <t>HARVESTING AND MARKETING</t>
  </si>
  <si>
    <t>hrs</t>
  </si>
  <si>
    <t>boxes</t>
  </si>
  <si>
    <t>gross</t>
  </si>
  <si>
    <t>Total Harvesting and Marketing Cost</t>
  </si>
  <si>
    <t>Interest on Variable Costs</t>
  </si>
  <si>
    <t>TOTAL VARIABLE COST</t>
  </si>
  <si>
    <t>RETURN ABOVE VARIABLE COSTS</t>
  </si>
  <si>
    <t>FIXED COSTS</t>
  </si>
  <si>
    <t xml:space="preserve">   Machinery and Equipment</t>
  </si>
  <si>
    <t xml:space="preserve">   Irrigation System Capital Recovery</t>
  </si>
  <si>
    <t xml:space="preserve">   Taxes on Land</t>
  </si>
  <si>
    <t xml:space="preserve">   Insurance</t>
  </si>
  <si>
    <t>TOTAL FIXED COSTS</t>
  </si>
  <si>
    <t>TOTAL EXPENSES</t>
  </si>
  <si>
    <t>RETURN TO OPERATOR LABOR, LAND, CAPITAL, &amp; MGT.</t>
  </si>
  <si>
    <t>Operator and Unpaid Family Labor</t>
  </si>
  <si>
    <t>hrs.</t>
  </si>
  <si>
    <t>RETURN TO LAND, CAPITAL, AND MANAGEMENT</t>
  </si>
  <si>
    <t>a Yields based on past budget estimates for production in Ky. Yields may be higher.</t>
  </si>
  <si>
    <t>BROCCOLI, FALL FRESH MARKET, TRICKLE IRRIGATED</t>
  </si>
  <si>
    <t>feet</t>
  </si>
  <si>
    <t>Broccoli</t>
  </si>
  <si>
    <r>
      <t xml:space="preserve">   </t>
    </r>
    <r>
      <rPr>
        <b/>
        <sz val="10"/>
        <rFont val="Arial"/>
        <family val="2"/>
      </rPr>
      <t>Total Returns</t>
    </r>
  </si>
  <si>
    <t xml:space="preserve">   Broccoli Transplants</t>
  </si>
  <si>
    <t>plants</t>
  </si>
  <si>
    <t xml:space="preserve">   N Fertilizer: Urea</t>
  </si>
  <si>
    <t xml:space="preserve">   Starter Fertilizer</t>
  </si>
  <si>
    <t xml:space="preserve">   N Fertilizer: Fertigation (Calcium Nitrate)</t>
  </si>
  <si>
    <t xml:space="preserve">   Plastic Mulch</t>
  </si>
  <si>
    <t xml:space="preserve">   Drip Lines &amp; Irrigation Fittings</t>
  </si>
  <si>
    <t xml:space="preserve">   Irrigation</t>
  </si>
  <si>
    <t xml:space="preserve">   Hired Labor  (Planting)</t>
  </si>
  <si>
    <t>hours</t>
  </si>
  <si>
    <t>f</t>
  </si>
  <si>
    <t xml:space="preserve">   Other transportation/marketing costs</t>
  </si>
  <si>
    <t>Operator Labor (machinery and irrigation)</t>
  </si>
  <si>
    <t>a Yields based on prior UK budget yield assumption.</t>
  </si>
  <si>
    <t>c Fuel and power for irrigation system. Assumes established well or water source. Depreciation fixed costs in capital recovery line.</t>
  </si>
  <si>
    <t>a,b</t>
  </si>
  <si>
    <t>CABBAGE, FRESH MARKET, TRICKLE IRRIGATED</t>
  </si>
  <si>
    <t>Cabbage</t>
  </si>
  <si>
    <t xml:space="preserve">   Cabbage Transplants</t>
  </si>
  <si>
    <t>acre</t>
  </si>
  <si>
    <t>CANTALOUPE OR SPECIALTY MELONS, FRESH MARKET, TRICKLE IRRIGATED</t>
  </si>
  <si>
    <t>Melons (Marketable)</t>
  </si>
  <si>
    <t>melons</t>
  </si>
  <si>
    <t xml:space="preserve">   Melon Seeds</t>
  </si>
  <si>
    <t>seeds</t>
  </si>
  <si>
    <t xml:space="preserve">   Cost of Growing Transplants - Labor, Media, Utilities</t>
  </si>
  <si>
    <t xml:space="preserve">   K Fertilizer: Potash (0-0-60)</t>
  </si>
  <si>
    <t xml:space="preserve">   N Fertilizer: Fertigation (Calcium Nitrate or Potassium Nitrate)</t>
  </si>
  <si>
    <t>plot</t>
  </si>
  <si>
    <t xml:space="preserve">   Pollination</t>
  </si>
  <si>
    <t>hive</t>
  </si>
  <si>
    <t xml:space="preserve">   Hired Labor  (Planting, Hand Weeding)</t>
  </si>
  <si>
    <t>miles</t>
  </si>
  <si>
    <t>CUCUMBER, FRESH MARKET, TRICKLE IRRIGATED</t>
  </si>
  <si>
    <t>Cucumbers</t>
  </si>
  <si>
    <t xml:space="preserve">   Cucumber Seed (F1)</t>
  </si>
  <si>
    <t>g</t>
  </si>
  <si>
    <t xml:space="preserve">   Black Plastic/Drip Lines</t>
  </si>
  <si>
    <t xml:space="preserve">   Harvest</t>
  </si>
  <si>
    <t>box</t>
  </si>
  <si>
    <t xml:space="preserve">   Packing</t>
  </si>
  <si>
    <t>a Yields of 150 pounds per 100-feet or 1.5 pounds per plant.</t>
  </si>
  <si>
    <t>cwt</t>
  </si>
  <si>
    <t>Eggplant</t>
  </si>
  <si>
    <t>eggplant</t>
  </si>
  <si>
    <t xml:space="preserve">   Eggplant Transplants</t>
  </si>
  <si>
    <t xml:space="preserve">   Insecticides</t>
  </si>
  <si>
    <t xml:space="preserve">   Fungicides</t>
  </si>
  <si>
    <t>OKRA, FRESH MARKET, TRICKLE IRRIGATED</t>
  </si>
  <si>
    <t>Okra</t>
  </si>
  <si>
    <t xml:space="preserve">   Okra Seed</t>
  </si>
  <si>
    <t xml:space="preserve">   N Fertilizer: Sidedressing</t>
  </si>
  <si>
    <t xml:space="preserve">   Mulch</t>
  </si>
  <si>
    <t xml:space="preserve">   Weed Control - Hoeing</t>
  </si>
  <si>
    <t xml:space="preserve">   Disease Management</t>
  </si>
  <si>
    <t>Operator Labor</t>
  </si>
  <si>
    <t>Peppers  (1 1/9 bu. box)</t>
  </si>
  <si>
    <t xml:space="preserve">   Plants</t>
  </si>
  <si>
    <t xml:space="preserve">   Transplant Labor</t>
  </si>
  <si>
    <t xml:space="preserve">   N Fertilizer:  Preplant Urea</t>
  </si>
  <si>
    <t xml:space="preserve">   Starter Liquid Fertilizer</t>
  </si>
  <si>
    <t xml:space="preserve">   N Fertilizer:  Calcium Nitrate fertigation</t>
  </si>
  <si>
    <t>each</t>
  </si>
  <si>
    <t xml:space="preserve">   Marketing Costs (10% of Gross)</t>
  </si>
  <si>
    <t xml:space="preserve">   Harvest Crate Replacement</t>
  </si>
  <si>
    <t xml:space="preserve">   Depreciation on Irrigation System</t>
  </si>
  <si>
    <t>a  Reflects average to above-average yields for plasticulture.</t>
  </si>
  <si>
    <t>Jalapeño PEPPERS: FRESH MARKET, TRICKLE IRRIGATED</t>
  </si>
  <si>
    <t>Jalapeño Peppers  (1/2-bu. Box)</t>
  </si>
  <si>
    <t>h</t>
  </si>
  <si>
    <t>c  Assumes charge for power/fuel for irrigation. Municipal water will add much higher cost.</t>
  </si>
  <si>
    <t>POTATOES:  FRESH MARKET, Non-Irrigated</t>
  </si>
  <si>
    <t>Potatoes</t>
  </si>
  <si>
    <t xml:space="preserve">   Lime</t>
  </si>
  <si>
    <t>ton</t>
  </si>
  <si>
    <t xml:space="preserve">   Fertilizer: Bulk Spread</t>
  </si>
  <si>
    <t xml:space="preserve">                  Sidedressing</t>
  </si>
  <si>
    <t xml:space="preserve">   Seed Treatment/Cutting</t>
  </si>
  <si>
    <t>bags</t>
  </si>
  <si>
    <t>PUMPKIN, FRESH MARKET, TRICKLE IRRIGATED</t>
  </si>
  <si>
    <t>Pumpkins (15-22 lbs)</t>
  </si>
  <si>
    <t>pumpkins</t>
  </si>
  <si>
    <t>Pumpkins (8-15 lbs)</t>
  </si>
  <si>
    <t xml:space="preserve">   Pumpkin Seed</t>
  </si>
  <si>
    <t>bins</t>
  </si>
  <si>
    <t>WINTER SQUASH, FRESH MARKET, TRICKLE IRRIGATED</t>
  </si>
  <si>
    <t>Winter Squash (50-lb box)</t>
  </si>
  <si>
    <t xml:space="preserve">   Winter Squash Transplants</t>
  </si>
  <si>
    <t>SUMMER SQUASH, FRESH MARKET, TRICKLE IRRIGATED</t>
  </si>
  <si>
    <t>Squash</t>
  </si>
  <si>
    <t xml:space="preserve">   Squash Seed (F1)</t>
  </si>
  <si>
    <t>a Yields of 250 pounds per 100-feet or 2.5 pounds per plant.</t>
  </si>
  <si>
    <t>SWEET CORN, FRESH MARKET</t>
  </si>
  <si>
    <t>Sweet Corn  (Dozen)</t>
  </si>
  <si>
    <t>dozen</t>
  </si>
  <si>
    <t>lb</t>
  </si>
  <si>
    <t xml:space="preserve">   Fertilizer: N (Urea)</t>
  </si>
  <si>
    <t xml:space="preserve">   Fertilizer: Other Preplant</t>
  </si>
  <si>
    <t xml:space="preserve">   Fertilizer: N (Side Dressing)</t>
  </si>
  <si>
    <t>crates</t>
  </si>
  <si>
    <t>crate</t>
  </si>
  <si>
    <t>Quick Links:</t>
  </si>
  <si>
    <t>Beans</t>
  </si>
  <si>
    <t>Cantaloupe</t>
  </si>
  <si>
    <t>Cucumber</t>
  </si>
  <si>
    <t>Peppers, Bell</t>
  </si>
  <si>
    <t>Peppers, Jalapeño</t>
  </si>
  <si>
    <t>Pumpkin</t>
  </si>
  <si>
    <t>Squash, Winter</t>
  </si>
  <si>
    <t>Squash, Summer</t>
  </si>
  <si>
    <t>Sweet Corn</t>
  </si>
  <si>
    <t>Sweet Potato</t>
  </si>
  <si>
    <t>Tomato</t>
  </si>
  <si>
    <t>Watermelon, seedless</t>
  </si>
  <si>
    <t>Watermelon, seeded</t>
  </si>
  <si>
    <t xml:space="preserve"> </t>
  </si>
  <si>
    <t>For more info visit:</t>
  </si>
  <si>
    <t>Cooperative Extension Service | Agriculture and Natural Resources | Family and Consumer Sciences 
 4-H Youth Development | Community and Economic Development</t>
  </si>
  <si>
    <r>
      <t xml:space="preserve">Trickle-irrigated, Hand-harvested, </t>
    </r>
    <r>
      <rPr>
        <b/>
        <u/>
        <sz val="10"/>
        <rFont val="Arial"/>
        <family val="2"/>
      </rPr>
      <t>100-foot row</t>
    </r>
  </si>
  <si>
    <t>SWEET POTATOES:  FRESH MARKET</t>
  </si>
  <si>
    <t>US #1</t>
  </si>
  <si>
    <t>US #2</t>
  </si>
  <si>
    <t xml:space="preserve">   Lime and Soil Additives</t>
  </si>
  <si>
    <t xml:space="preserve">   Sweetpotato Plants</t>
  </si>
  <si>
    <t>thousand</t>
  </si>
  <si>
    <t>TOMATOES, STAKED: FRESH MARKET, TRICKLE IRRIGATED</t>
  </si>
  <si>
    <t>Tomatoes</t>
  </si>
  <si>
    <t xml:space="preserve">   Transplant &amp; Staking Labor</t>
  </si>
  <si>
    <t xml:space="preserve">   Stakes &amp; Twine</t>
  </si>
  <si>
    <t>Watermelons, Seedless</t>
  </si>
  <si>
    <t xml:space="preserve">   Seedless Watermelon Seeds</t>
  </si>
  <si>
    <t xml:space="preserve">   Pollenizers</t>
  </si>
  <si>
    <t xml:space="preserve">Watermelons, Seeded </t>
  </si>
  <si>
    <t xml:space="preserve">   Seeded Watermelon Seeds</t>
  </si>
  <si>
    <r>
      <t>Market Garden Scale (</t>
    </r>
    <r>
      <rPr>
        <b/>
        <u/>
        <sz val="10"/>
        <rFont val="Arial"/>
        <family val="2"/>
      </rPr>
      <t>700 row feet</t>
    </r>
    <r>
      <rPr>
        <b/>
        <sz val="10"/>
        <rFont val="Arial"/>
        <family val="2"/>
      </rPr>
      <t>, Approx. 0.1 acre, Direct Market)</t>
    </r>
  </si>
  <si>
    <t>e Machinery costs generator using updated fuel purchase price and replacement cost estimates.</t>
  </si>
  <si>
    <t>EGGPLANT, FRESH MARKET, TRICKLE IRRIGATED</t>
  </si>
  <si>
    <r>
      <t xml:space="preserve">Approximately </t>
    </r>
    <r>
      <rPr>
        <b/>
        <u/>
        <sz val="10"/>
        <rFont val="Arial"/>
        <family val="2"/>
      </rPr>
      <t>0.10 acres</t>
    </r>
    <r>
      <rPr>
        <b/>
        <sz val="10"/>
        <rFont val="Arial"/>
        <family val="2"/>
      </rPr>
      <t xml:space="preserve"> (15 100-ft 36"rows)</t>
    </r>
  </si>
  <si>
    <r>
      <t xml:space="preserve">Approximately </t>
    </r>
    <r>
      <rPr>
        <b/>
        <u/>
        <sz val="10"/>
        <rFont val="Arial"/>
        <family val="2"/>
      </rPr>
      <t>0.12 acres</t>
    </r>
    <r>
      <rPr>
        <b/>
        <sz val="10"/>
        <rFont val="Arial"/>
        <family val="2"/>
      </rPr>
      <t xml:space="preserve"> (700 row feet)</t>
    </r>
  </si>
  <si>
    <r>
      <t>Approximately</t>
    </r>
    <r>
      <rPr>
        <b/>
        <u/>
        <sz val="10"/>
        <rFont val="Arial"/>
        <family val="2"/>
      </rPr>
      <t xml:space="preserve"> 0.10</t>
    </r>
    <r>
      <rPr>
        <b/>
        <sz val="10"/>
        <rFont val="Arial"/>
        <family val="2"/>
      </rPr>
      <t xml:space="preserve"> acres (15 100-ft 36"rows)</t>
    </r>
  </si>
  <si>
    <t>Total Returns</t>
  </si>
  <si>
    <r>
      <t xml:space="preserve">Approximately </t>
    </r>
    <r>
      <rPr>
        <b/>
        <u/>
        <sz val="10"/>
        <rFont val="Arial"/>
        <family val="2"/>
      </rPr>
      <t>0.10 acres</t>
    </r>
    <r>
      <rPr>
        <b/>
        <sz val="10"/>
        <rFont val="Arial"/>
        <family val="2"/>
      </rPr>
      <t xml:space="preserve"> (8 100-ft rows)</t>
    </r>
  </si>
  <si>
    <r>
      <t>Market Garden Scale (</t>
    </r>
    <r>
      <rPr>
        <b/>
        <u/>
        <sz val="10"/>
        <rFont val="Arial"/>
        <family val="2"/>
      </rPr>
      <t>700 row feet</t>
    </r>
    <r>
      <rPr>
        <b/>
        <sz val="10"/>
        <rFont val="Arial"/>
        <family val="2"/>
      </rPr>
      <t>, Approx. 0.12 acre, Direct Market)</t>
    </r>
  </si>
  <si>
    <t>Watermelons, Seeded</t>
  </si>
  <si>
    <t>WATERMELON (Seedless), TRICKLE IRRIGATED</t>
  </si>
  <si>
    <t>WATERMELON (Seeded), TRICKLE IRRIGATED</t>
  </si>
  <si>
    <t>b Price based on national season-average price and prices at Ky. produce auctions.</t>
  </si>
  <si>
    <t>a Yields based on past UK variety trials and grower yield estimates; yields are higher on plasticulture.</t>
  </si>
  <si>
    <t>f  Based on state budgets with revisions by Kentucky vegetable experts.</t>
  </si>
  <si>
    <t>g Fertilizer assumption: 2.375 lbs calcium nitrate per week per 1,000 plants.</t>
  </si>
  <si>
    <t>f  Updates past harvest and packing cost assumptions and compares to recently published university budget assumptions.</t>
  </si>
  <si>
    <t>a Yields based on UK variety trials and grower yield estimates.</t>
  </si>
  <si>
    <t>g Fertilizer assumption: 8.875 lb calcium nitrate per week per 1,000 plants.</t>
  </si>
  <si>
    <t>a Reflects average to above-average yields for plasticulture.</t>
  </si>
  <si>
    <t>g  Based on past Kentucky budgets with increases for wage rates.</t>
  </si>
  <si>
    <t>h  Fertilizer assumption: 4 pounds calcium nitrate per week per 1000 plants.</t>
  </si>
  <si>
    <t>a Yields based on past UK variety trials and grower yield estimates.</t>
  </si>
  <si>
    <t>e Based on state budgets with revisions by Kentucky vegetable experts.</t>
  </si>
  <si>
    <t>g Fertilizer assumption: 8.5 lbs calcium nitrate per week per 1,000 plants.</t>
  </si>
  <si>
    <t>c Cost for hybrid sweet corn seed.</t>
  </si>
  <si>
    <t>a Yield used in 2010 UK SARE project budget estimate.</t>
  </si>
  <si>
    <t>c No value for irrigation assumed; growers may elect to irrigate in some instances.</t>
  </si>
  <si>
    <t>b  Price based on Kentucky farmers market prices and auction trends.</t>
  </si>
  <si>
    <t>b Price based on Kentucky farmers market and auction prices.</t>
  </si>
  <si>
    <t>CCD-BG-11</t>
  </si>
  <si>
    <t>Variables:</t>
  </si>
  <si>
    <t>a Yields based on UK variety trials and grower yield estimates. Yields on plastic with trickle irrigation are likely to be higher than bare field.</t>
  </si>
  <si>
    <t>FOR COMPARISON AND PLANNING PURPOSES ONLY.</t>
  </si>
  <si>
    <t xml:space="preserve">NOT TO BE CONSIDERED CROPPING RECOMMENDATIONS OR PROFITABILITY PROJECTIONS. </t>
  </si>
  <si>
    <t xml:space="preserve">b Cucumbers at market often priced per piece or per pound. Price based on Ky. farmers market prices of 2-3 for $1 or $1 to </t>
  </si>
  <si>
    <t>c Fuel and power for irrigation system. Assumes established well or water source. Depreciation fixed costs in capital</t>
  </si>
  <si>
    <t xml:space="preserve">   recovery line.</t>
  </si>
  <si>
    <t>f  Based on past UK assumptions updated for changes in wage rates. Mississippi State (2015) estimates 330 hours</t>
  </si>
  <si>
    <r>
      <t xml:space="preserve">  </t>
    </r>
    <r>
      <rPr>
        <sz val="9"/>
        <rFont val="Arial"/>
        <family val="2"/>
      </rPr>
      <t>to harvest and grade 400 boxes per acre.</t>
    </r>
  </si>
  <si>
    <t xml:space="preserve">   for small plot. Herbicide: $0.65; Insecticide: $1.60; Fungicide $9.90.</t>
  </si>
  <si>
    <t>c Fuel and power for irrigation system. Assumes established well or water source. Depreciation</t>
  </si>
  <si>
    <t xml:space="preserve">   fixed costs in capital recovery line.</t>
  </si>
  <si>
    <t xml:space="preserve">c Fuel and power for irrigation system. Assumes established well or water source. Depreciation fixed </t>
  </si>
  <si>
    <t xml:space="preserve">   costs in capital recovery line.</t>
  </si>
  <si>
    <t>b Squash at market often priced per piece or per pound. Price based on Ky. farmers market prices</t>
  </si>
  <si>
    <t xml:space="preserve">c Fuel and power for irrigation system. Assumes established well or water source. Depreciation </t>
  </si>
  <si>
    <t xml:space="preserve">f  Assumes 12 boxes per hour harvested. State budgets from MS and SC assuming large-scale efficiency </t>
  </si>
  <si>
    <r>
      <t xml:space="preserve">  </t>
    </r>
    <r>
      <rPr>
        <sz val="9"/>
        <rFont val="Arial"/>
        <family val="2"/>
      </rPr>
      <t>of 17.5 boxes harvested per hour plus sorting/curing charge.</t>
    </r>
  </si>
  <si>
    <t xml:space="preserve">c  Assumes total cost of stakes and twine in this initial year. Amortizing cost of stakes, or using owned stakes, </t>
  </si>
  <si>
    <t xml:space="preserve">    this value is one-fifth of large-scale budgeted machinery costs per acre. </t>
  </si>
  <si>
    <t>g  Based on past Kentucky budgets with increases for increasing wage rates; compares similarly to tomato labor estimates</t>
  </si>
  <si>
    <t xml:space="preserve">    will reduce this variable cost.</t>
  </si>
  <si>
    <t>NOT TO BE CONSIDERED CROPPING RECOMMENDATIONS OR PROFITABILITY</t>
  </si>
  <si>
    <t xml:space="preserve"> PROJECTIONS. FOR COMPARISON AND PLANNING PURPOSES ONLY.</t>
  </si>
  <si>
    <t xml:space="preserve">NOT TO BE CONSIDERED CROPPING RECOMMENDATIONS OR PROFITABILITY </t>
  </si>
  <si>
    <t>PROJECTIONS. FOR COMPARISON AND PLANNING PURPOSES ONLY.</t>
  </si>
  <si>
    <t>BELL PEPPERS: FRESH MARKET, TRICKLE IRRIGATED</t>
  </si>
  <si>
    <t>2022 Vegetable and Melon Budgets (Small-scale)</t>
  </si>
  <si>
    <t>Kentucky Estimated Costs and Returns for 2022</t>
  </si>
  <si>
    <t>d Pesticide costs based on recommended applications of various products using 2022 product costs.</t>
  </si>
  <si>
    <t>e Machinery cost calculator modified for KY vegetable production in 2022.</t>
  </si>
  <si>
    <t xml:space="preserve">   N Fertilizer</t>
  </si>
  <si>
    <t>b Price based on Ky. farmers market prices and Ky produce auction price ranges.</t>
  </si>
  <si>
    <t xml:space="preserve">   $16.05 fungicide.</t>
  </si>
  <si>
    <t xml:space="preserve">d Pesticide costs based on 1/10th acre of commercial recommendations, plus additional labor for small plot. Product costs:$1.05 herbicide, $8.98 insecticide, </t>
  </si>
  <si>
    <t xml:space="preserve">   $3.50 per pound.</t>
  </si>
  <si>
    <t>b Price based on Kentucky farmers market prices</t>
  </si>
  <si>
    <t>d Pesticide costs based on recommended applications of various products using 2022 product costs. Fungicide program can vary.</t>
  </si>
  <si>
    <t>e Machinery costs generator updated with 2022 fuel and equipment costs.</t>
  </si>
  <si>
    <t>b Price based on Kentucky farmers market and auction prices, 2022.</t>
  </si>
  <si>
    <t>e Pesticide costs based on recommended applications of various products using 2022 product costs, plus additional labor charge</t>
  </si>
  <si>
    <t>f  Machinery costs generator updated with 2022 fuel and equipment costs.</t>
  </si>
  <si>
    <t>g Based on past Kentucky budgets with increases for $16.50 wage rate.</t>
  </si>
  <si>
    <t>b  Price based on Kentucky farmers market and auction prices</t>
  </si>
  <si>
    <t>e  Pesticide costs based on recommended applications of various products using 2022 product costs.</t>
  </si>
  <si>
    <t>f   Machinery costs based on typical operations and 2022 machinery &amp; fuel costs, according to machinery cost generator.</t>
  </si>
  <si>
    <t>c Pesticide costs based on recommended applications of various products using 2022 product costs.</t>
  </si>
  <si>
    <t>d Machinery cost calculator updated for vegetable production in 2022.</t>
  </si>
  <si>
    <t>e Machinery cost calculator updated for vegetable production in 2022.</t>
  </si>
  <si>
    <t xml:space="preserve">   of 2-3 for $1 or $1 to $3.50 per pound.</t>
  </si>
  <si>
    <t>b Price based on terminal market price trends and Ky. farmers markets.</t>
  </si>
  <si>
    <t>f  Based on past UK assumptions updated for changes in wage rates. More efficient harvest will enhance</t>
  </si>
  <si>
    <t xml:space="preserve">   potential profitability.</t>
  </si>
  <si>
    <t>b Price based on UK farmers market price reports and auction averages.</t>
  </si>
  <si>
    <t xml:space="preserve">e  Pesticide costs based on one acre of recommended applications are as follows: Herbicide $7.02; Insecticide $7.39; </t>
  </si>
  <si>
    <t xml:space="preserve">    Fungicide $55.26. These values assume extra labor costs.</t>
  </si>
  <si>
    <t xml:space="preserve">f   Machinery costs based on typical operations and 2022 machinery costs, according to machinery cost generator; </t>
  </si>
  <si>
    <r>
      <t xml:space="preserve">   </t>
    </r>
    <r>
      <rPr>
        <sz val="9"/>
        <rFont val="Arial"/>
        <family val="2"/>
      </rPr>
      <t>from university budgets published in S. Carolina, N. Carolina, Pennsylvania, Georgia and Mississippi.</t>
    </r>
  </si>
  <si>
    <t xml:space="preserve">   Product costs for 0.12 acre: Herbicide $1.26; Insecticide $10.32; Fungicide $19.26.</t>
  </si>
  <si>
    <t xml:space="preserve">d Pesticide costs based on recommended applications of various products using 2022 product costs, plus extra labor. </t>
  </si>
  <si>
    <t>d Pesticide costs based on recommended applications of various products using 2022 product costs, plus extra labor.</t>
  </si>
  <si>
    <t xml:space="preserve">   Hired Labor: Picking</t>
  </si>
  <si>
    <t xml:space="preserve">   Boxes (or Harvest Lugs)</t>
  </si>
  <si>
    <t xml:space="preserve">   Hired Labor: Grading/Cleaning/Sorting</t>
  </si>
  <si>
    <t xml:space="preserve">   Cooling</t>
  </si>
  <si>
    <t xml:space="preserve">   Plastic Disposal</t>
  </si>
  <si>
    <t xml:space="preserve">   Harvest and Pack</t>
  </si>
  <si>
    <t xml:space="preserve">   Ice and Cooling</t>
  </si>
  <si>
    <t xml:space="preserve">   Boxes</t>
  </si>
  <si>
    <t xml:space="preserve">   Harvest Bin &amp; Boxes</t>
  </si>
  <si>
    <t xml:space="preserve">   Hired Labor</t>
  </si>
  <si>
    <t xml:space="preserve">   Transport to Market</t>
  </si>
  <si>
    <t xml:space="preserve">     Harvest</t>
  </si>
  <si>
    <t xml:space="preserve">     Packing</t>
  </si>
  <si>
    <t xml:space="preserve">   Containers</t>
  </si>
  <si>
    <t xml:space="preserve">   Harvest Lugs/Buckets</t>
  </si>
  <si>
    <t xml:space="preserve">   Plastic Disposal Labor</t>
  </si>
  <si>
    <t xml:space="preserve">   Harvest and Postharvest Hired Labor</t>
  </si>
  <si>
    <t xml:space="preserve">     Grade/Pack</t>
  </si>
  <si>
    <t xml:space="preserve">     Marketing Costs (10% of Gross)</t>
  </si>
  <si>
    <t xml:space="preserve">     Other transportation/marketing costs</t>
  </si>
  <si>
    <t xml:space="preserve">     Harvest &amp; Pack</t>
  </si>
  <si>
    <t xml:space="preserve">   Variable Machine Costs</t>
  </si>
  <si>
    <t xml:space="preserve">   Bags</t>
  </si>
  <si>
    <t xml:space="preserve">   Hired Labor: Hand Harvest</t>
  </si>
  <si>
    <t xml:space="preserve">                        Grading and Packing</t>
  </si>
  <si>
    <t xml:space="preserve">      Harvest &amp; Field Grading</t>
  </si>
  <si>
    <t xml:space="preserve">   Hauling Variable Costs</t>
  </si>
  <si>
    <t xml:space="preserve">      Harvest</t>
  </si>
  <si>
    <t xml:space="preserve">      Packing</t>
  </si>
  <si>
    <t xml:space="preserve">   Crates</t>
  </si>
  <si>
    <t xml:space="preserve">      Harvest &amp; Pack</t>
  </si>
  <si>
    <t xml:space="preserve">      Misc. Harvest Labor</t>
  </si>
  <si>
    <t xml:space="preserve">   Machine Fuel, Oil, Lube / Or Rent</t>
  </si>
  <si>
    <t xml:space="preserve">   Hired Labor: Harvest/Wash/Pack</t>
  </si>
  <si>
    <t xml:space="preserve">   Curing and Storage</t>
  </si>
  <si>
    <t xml:space="preserve">      Grade/Pack</t>
  </si>
  <si>
    <t>c Based on 2022 product costs.</t>
  </si>
  <si>
    <t xml:space="preserve">      Harvest &amp; Grading</t>
  </si>
  <si>
    <t xml:space="preserve">   Hired Labor (Planting)</t>
  </si>
  <si>
    <t>d  Based on updated 2022 UK estimate for trickle irrigation.</t>
  </si>
  <si>
    <t>d Based on 2022 UK estimate for trickle irrigation updated.</t>
  </si>
  <si>
    <t xml:space="preserve">   Hired Labor (Planting, Hand Weeding)</t>
  </si>
  <si>
    <r>
      <t xml:space="preserve">Approximately </t>
    </r>
    <r>
      <rPr>
        <b/>
        <u/>
        <sz val="10"/>
        <rFont val="Arial"/>
        <family val="2"/>
      </rPr>
      <t>0.12</t>
    </r>
    <r>
      <rPr>
        <b/>
        <sz val="10"/>
        <rFont val="Arial"/>
        <family val="2"/>
      </rPr>
      <t xml:space="preserve"> acres (15 100-ft 40" rows)</t>
    </r>
  </si>
  <si>
    <t>g Hive rental rates are very dependent on local availability.</t>
  </si>
  <si>
    <t>h Hive rental rates are very dependent on local availability.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</si>
</sst>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0.0"/>
  </numFmts>
  <fonts count="18" x14ac:knownFonts="1">
    <font>
      <sz val="10"/>
      <name val="Arial"/>
    </font>
    <font>
      <b/>
      <sz val="10"/>
      <name val="Arial"/>
      <family val="2"/>
    </font>
    <font>
      <b/>
      <sz val="16"/>
      <name val="Arial"/>
      <family val="2"/>
    </font>
    <font>
      <sz val="10"/>
      <name val="Arial"/>
      <family val="2"/>
    </font>
    <font>
      <vertAlign val="superscript"/>
      <sz val="10"/>
      <name val="Arial"/>
      <family val="2"/>
    </font>
    <font>
      <b/>
      <sz val="10"/>
      <color rgb="FFFF0000"/>
      <name val="Arial"/>
      <family val="2"/>
    </font>
    <font>
      <u/>
      <sz val="10"/>
      <color theme="10"/>
      <name val="Arial"/>
      <family val="2"/>
    </font>
    <font>
      <sz val="8"/>
      <name val="Arial"/>
      <family val="2"/>
    </font>
    <font>
      <vertAlign val="superscript"/>
      <sz val="8"/>
      <name val="Arial"/>
      <family val="2"/>
    </font>
    <font>
      <sz val="9"/>
      <name val="Arial"/>
      <family val="2"/>
    </font>
    <font>
      <sz val="10"/>
      <color indexed="10"/>
      <name val="Arial"/>
      <family val="2"/>
    </font>
    <font>
      <sz val="10"/>
      <name val="Arial"/>
      <family val="2"/>
    </font>
    <font>
      <b/>
      <sz val="10"/>
      <color indexed="10"/>
      <name val="Arial"/>
      <family val="2"/>
    </font>
    <font>
      <b/>
      <sz val="8"/>
      <name val="Arial"/>
      <family val="2"/>
    </font>
    <font>
      <b/>
      <u/>
      <sz val="10"/>
      <name val="Arial"/>
      <family val="2"/>
    </font>
    <font>
      <b/>
      <sz val="9"/>
      <name val="Arial"/>
      <family val="2"/>
    </font>
    <font>
      <b/>
      <sz val="12"/>
      <name val="Arial"/>
      <family val="2"/>
    </font>
    <font>
      <u/>
      <sz val="10"/>
      <color theme="11"/>
      <name val="Arial"/>
      <family val="2"/>
    </font>
  </fonts>
  <fills count="5">
    <fill>
      <patternFill patternType="none"/>
    </fill>
    <fill>
      <patternFill patternType="gray125"/>
    </fill>
    <fill>
      <patternFill patternType="solid">
        <fgColor theme="6" tint="0.79998168889431442"/>
        <bgColor indexed="64"/>
      </patternFill>
    </fill>
    <fill>
      <patternFill patternType="solid">
        <fgColor theme="6" tint="0.39997558519241921"/>
        <bgColor indexed="64"/>
      </patternFill>
    </fill>
    <fill>
      <patternFill patternType="solid">
        <fgColor rgb="FF008000"/>
        <bgColor indexed="64"/>
      </patternFill>
    </fill>
  </fills>
  <borders count="7">
    <border>
      <left/>
      <right/>
      <top/>
      <bottom/>
      <diagonal/>
    </border>
    <border>
      <left/>
      <right/>
      <top/>
      <bottom style="medium">
        <color auto="1"/>
      </bottom>
      <diagonal/>
    </border>
    <border>
      <left/>
      <right/>
      <top/>
      <bottom style="thin">
        <color auto="1"/>
      </bottom>
      <diagonal/>
    </border>
    <border>
      <left/>
      <right/>
      <top style="thin">
        <color auto="1"/>
      </top>
      <bottom style="thin">
        <color auto="1"/>
      </bottom>
      <diagonal/>
    </border>
    <border>
      <left/>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0">
    <xf numFmtId="0" fontId="0" fillId="0" borderId="0"/>
    <xf numFmtId="44" fontId="3" fillId="0" borderId="0" applyFont="0" applyFill="0" applyBorder="0" applyAlignment="0" applyProtection="0"/>
    <xf numFmtId="9" fontId="3" fillId="0" borderId="0" applyFont="0" applyFill="0" applyBorder="0" applyAlignment="0" applyProtection="0"/>
    <xf numFmtId="0" fontId="6" fillId="0" borderId="0" applyNumberFormat="0" applyFill="0" applyBorder="0" applyAlignment="0" applyProtection="0">
      <alignment vertical="top"/>
      <protection locked="0"/>
    </xf>
    <xf numFmtId="43"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3" fontId="11" fillId="0" borderId="0" applyFont="0" applyFill="0" applyBorder="0" applyAlignment="0" applyProtection="0"/>
    <xf numFmtId="0" fontId="17" fillId="0" borderId="0" applyNumberFormat="0" applyFill="0" applyBorder="0" applyAlignment="0" applyProtection="0"/>
  </cellStyleXfs>
  <cellXfs count="121">
    <xf numFmtId="0" fontId="0" fillId="0" borderId="0" xfId="0"/>
    <xf numFmtId="0" fontId="0" fillId="0" borderId="1" xfId="0" applyBorder="1"/>
    <xf numFmtId="0" fontId="1" fillId="0" borderId="0" xfId="0" applyFont="1"/>
    <xf numFmtId="0" fontId="3" fillId="0" borderId="0" xfId="0" applyFont="1"/>
    <xf numFmtId="44" fontId="5" fillId="0" borderId="0" xfId="1" applyFont="1"/>
    <xf numFmtId="9" fontId="5" fillId="0" borderId="0" xfId="2" applyFont="1"/>
    <xf numFmtId="0" fontId="1" fillId="0" borderId="0" xfId="5" applyFont="1"/>
    <xf numFmtId="0" fontId="3" fillId="0" borderId="0" xfId="5"/>
    <xf numFmtId="44" fontId="0" fillId="0" borderId="0" xfId="6" applyFont="1"/>
    <xf numFmtId="0" fontId="9" fillId="0" borderId="0" xfId="5" applyFont="1"/>
    <xf numFmtId="44" fontId="1" fillId="0" borderId="0" xfId="5" applyNumberFormat="1" applyFont="1"/>
    <xf numFmtId="164" fontId="0" fillId="0" borderId="0" xfId="4" applyNumberFormat="1" applyFont="1"/>
    <xf numFmtId="165" fontId="0" fillId="0" borderId="0" xfId="4" applyNumberFormat="1" applyFont="1"/>
    <xf numFmtId="44" fontId="3" fillId="0" borderId="0" xfId="5" applyNumberFormat="1"/>
    <xf numFmtId="44" fontId="1" fillId="0" borderId="0" xfId="6" applyFont="1"/>
    <xf numFmtId="8" fontId="1" fillId="0" borderId="0" xfId="5" applyNumberFormat="1" applyFont="1"/>
    <xf numFmtId="0" fontId="10" fillId="0" borderId="0" xfId="0" applyFont="1"/>
    <xf numFmtId="44" fontId="0" fillId="0" borderId="0" xfId="1" applyFont="1"/>
    <xf numFmtId="0" fontId="9" fillId="0" borderId="0" xfId="0" applyFont="1"/>
    <xf numFmtId="44" fontId="1" fillId="0" borderId="0" xfId="0" applyNumberFormat="1" applyFont="1"/>
    <xf numFmtId="1" fontId="1" fillId="0" borderId="0" xfId="0" applyNumberFormat="1" applyFont="1"/>
    <xf numFmtId="1" fontId="3" fillId="0" borderId="0" xfId="5" applyNumberFormat="1"/>
    <xf numFmtId="165" fontId="0" fillId="0" borderId="0" xfId="4" applyNumberFormat="1" applyFont="1" applyFill="1"/>
    <xf numFmtId="166" fontId="0" fillId="0" borderId="0" xfId="2" applyNumberFormat="1" applyFont="1"/>
    <xf numFmtId="44" fontId="0" fillId="0" borderId="0" xfId="0" applyNumberFormat="1"/>
    <xf numFmtId="44" fontId="1" fillId="0" borderId="0" xfId="1" applyFont="1"/>
    <xf numFmtId="44" fontId="9" fillId="0" borderId="0" xfId="1" applyFont="1"/>
    <xf numFmtId="1" fontId="3" fillId="0" borderId="0" xfId="0" applyNumberFormat="1" applyFont="1"/>
    <xf numFmtId="1" fontId="0" fillId="0" borderId="0" xfId="0" applyNumberFormat="1"/>
    <xf numFmtId="2" fontId="0" fillId="0" borderId="0" xfId="0" applyNumberFormat="1"/>
    <xf numFmtId="8" fontId="1" fillId="0" borderId="0" xfId="0" applyNumberFormat="1" applyFont="1"/>
    <xf numFmtId="0" fontId="12" fillId="0" borderId="0" xfId="0" applyFont="1"/>
    <xf numFmtId="9" fontId="0" fillId="0" borderId="0" xfId="2" applyFont="1" applyFill="1"/>
    <xf numFmtId="167" fontId="0" fillId="0" borderId="0" xfId="0" applyNumberFormat="1"/>
    <xf numFmtId="0" fontId="0" fillId="0" borderId="0" xfId="0" applyAlignment="1">
      <alignment horizontal="left"/>
    </xf>
    <xf numFmtId="165" fontId="0" fillId="0" borderId="0" xfId="8" applyNumberFormat="1" applyFont="1" applyFill="1"/>
    <xf numFmtId="44" fontId="3" fillId="0" borderId="0" xfId="1" applyFont="1"/>
    <xf numFmtId="165" fontId="0" fillId="0" borderId="0" xfId="8" applyNumberFormat="1" applyFont="1"/>
    <xf numFmtId="9" fontId="0" fillId="0" borderId="0" xfId="2" applyFont="1"/>
    <xf numFmtId="43" fontId="0" fillId="0" borderId="0" xfId="4" applyFont="1"/>
    <xf numFmtId="0" fontId="3" fillId="0" borderId="1" xfId="5" applyBorder="1"/>
    <xf numFmtId="0" fontId="2" fillId="0" borderId="0" xfId="5" applyFont="1" applyAlignment="1">
      <alignment horizontal="center"/>
    </xf>
    <xf numFmtId="0" fontId="3" fillId="0" borderId="0" xfId="5" applyAlignment="1">
      <alignment wrapText="1"/>
    </xf>
    <xf numFmtId="9" fontId="5" fillId="0" borderId="1" xfId="2" applyFont="1" applyBorder="1"/>
    <xf numFmtId="0" fontId="6" fillId="0" borderId="1" xfId="3" applyBorder="1" applyAlignment="1" applyProtection="1">
      <alignment horizontal="center" vertical="center"/>
    </xf>
    <xf numFmtId="0" fontId="3" fillId="0" borderId="1" xfId="5" applyBorder="1" applyAlignment="1">
      <alignment horizontal="center" vertical="center"/>
    </xf>
    <xf numFmtId="0" fontId="7" fillId="0" borderId="0" xfId="5" applyFont="1"/>
    <xf numFmtId="0" fontId="3" fillId="0" borderId="1" xfId="0" applyFont="1" applyBorder="1"/>
    <xf numFmtId="0" fontId="3" fillId="0" borderId="2" xfId="5" applyBorder="1"/>
    <xf numFmtId="0" fontId="3" fillId="0" borderId="0" xfId="0" applyFont="1" applyAlignment="1">
      <alignment horizontal="left"/>
    </xf>
    <xf numFmtId="0" fontId="3" fillId="4" borderId="0" xfId="5" applyFill="1"/>
    <xf numFmtId="44" fontId="0" fillId="0" borderId="2" xfId="6" applyFont="1" applyBorder="1"/>
    <xf numFmtId="166" fontId="0" fillId="0" borderId="2" xfId="7" applyNumberFormat="1" applyFont="1" applyBorder="1"/>
    <xf numFmtId="0" fontId="1" fillId="0" borderId="3" xfId="5" applyFont="1" applyBorder="1"/>
    <xf numFmtId="0" fontId="3" fillId="0" borderId="3" xfId="5" applyBorder="1"/>
    <xf numFmtId="44" fontId="1" fillId="0" borderId="3" xfId="5" applyNumberFormat="1" applyFont="1" applyBorder="1"/>
    <xf numFmtId="44" fontId="3" fillId="0" borderId="3" xfId="5" applyNumberFormat="1" applyBorder="1"/>
    <xf numFmtId="0" fontId="1" fillId="0" borderId="1" xfId="5" applyFont="1" applyBorder="1"/>
    <xf numFmtId="44" fontId="1" fillId="0" borderId="1" xfId="5" applyNumberFormat="1" applyFont="1" applyBorder="1"/>
    <xf numFmtId="0" fontId="15" fillId="0" borderId="0" xfId="0" applyFont="1"/>
    <xf numFmtId="0" fontId="0" fillId="0" borderId="2" xfId="0" applyBorder="1" applyAlignment="1">
      <alignment horizontal="center"/>
    </xf>
    <xf numFmtId="0" fontId="0" fillId="4" borderId="0" xfId="0" applyFill="1"/>
    <xf numFmtId="0" fontId="0" fillId="0" borderId="2" xfId="0" applyBorder="1"/>
    <xf numFmtId="44" fontId="0" fillId="0" borderId="2" xfId="1" applyFont="1" applyBorder="1"/>
    <xf numFmtId="165" fontId="0" fillId="0" borderId="2" xfId="4" applyNumberFormat="1" applyFont="1" applyFill="1" applyBorder="1"/>
    <xf numFmtId="0" fontId="3" fillId="0" borderId="2" xfId="0" applyFont="1" applyBorder="1"/>
    <xf numFmtId="0" fontId="1" fillId="0" borderId="3" xfId="0" applyFont="1" applyBorder="1"/>
    <xf numFmtId="0" fontId="0" fillId="0" borderId="3" xfId="0" applyBorder="1"/>
    <xf numFmtId="44" fontId="1" fillId="0" borderId="3" xfId="0" applyNumberFormat="1" applyFont="1" applyBorder="1"/>
    <xf numFmtId="44" fontId="1" fillId="0" borderId="2" xfId="1" applyFont="1" applyBorder="1"/>
    <xf numFmtId="44" fontId="0" fillId="0" borderId="3" xfId="0" applyNumberFormat="1" applyBorder="1"/>
    <xf numFmtId="0" fontId="1" fillId="0" borderId="1" xfId="0" applyFont="1" applyBorder="1"/>
    <xf numFmtId="44" fontId="1" fillId="0" borderId="1" xfId="0" applyNumberFormat="1" applyFont="1" applyBorder="1"/>
    <xf numFmtId="44" fontId="9" fillId="0" borderId="2" xfId="1" applyFont="1" applyBorder="1"/>
    <xf numFmtId="44" fontId="0" fillId="4" borderId="0" xfId="1" applyFont="1" applyFill="1"/>
    <xf numFmtId="0" fontId="16" fillId="0" borderId="0" xfId="5" applyFont="1"/>
    <xf numFmtId="0" fontId="16" fillId="0" borderId="0" xfId="0" applyFont="1"/>
    <xf numFmtId="0" fontId="1" fillId="0" borderId="4" xfId="0" applyFont="1" applyBorder="1"/>
    <xf numFmtId="0" fontId="0" fillId="0" borderId="4" xfId="0" applyBorder="1"/>
    <xf numFmtId="44" fontId="1" fillId="0" borderId="4" xfId="0" applyNumberFormat="1" applyFont="1" applyBorder="1"/>
    <xf numFmtId="9" fontId="0" fillId="0" borderId="2" xfId="2" applyFont="1" applyFill="1" applyBorder="1"/>
    <xf numFmtId="165" fontId="3" fillId="0" borderId="0" xfId="4" applyNumberFormat="1" applyFont="1"/>
    <xf numFmtId="165" fontId="0" fillId="0" borderId="2" xfId="8" applyNumberFormat="1" applyFont="1" applyFill="1" applyBorder="1"/>
    <xf numFmtId="166" fontId="0" fillId="0" borderId="2" xfId="2" applyNumberFormat="1" applyFont="1" applyBorder="1"/>
    <xf numFmtId="165" fontId="0" fillId="0" borderId="2" xfId="0" applyNumberFormat="1" applyBorder="1"/>
    <xf numFmtId="0" fontId="9" fillId="0" borderId="2" xfId="0" applyFont="1" applyBorder="1"/>
    <xf numFmtId="0" fontId="0" fillId="0" borderId="0" xfId="5" applyFont="1"/>
    <xf numFmtId="0" fontId="0" fillId="0" borderId="0" xfId="0" applyAlignment="1">
      <alignment horizontal="right"/>
    </xf>
    <xf numFmtId="0" fontId="12" fillId="0" borderId="0" xfId="0" applyFont="1" applyAlignment="1">
      <alignment horizontal="right"/>
    </xf>
    <xf numFmtId="1" fontId="3" fillId="0" borderId="0" xfId="0" applyNumberFormat="1" applyFont="1" applyAlignment="1">
      <alignment horizontal="right"/>
    </xf>
    <xf numFmtId="44" fontId="0" fillId="0" borderId="0" xfId="1" applyFont="1" applyAlignment="1">
      <alignment horizontal="right"/>
    </xf>
    <xf numFmtId="44" fontId="1" fillId="0" borderId="0" xfId="0" applyNumberFormat="1" applyFont="1" applyAlignment="1">
      <alignment horizontal="right"/>
    </xf>
    <xf numFmtId="0" fontId="3" fillId="0" borderId="0" xfId="0" applyFont="1" applyAlignment="1">
      <alignment horizontal="right"/>
    </xf>
    <xf numFmtId="44" fontId="3" fillId="0" borderId="0" xfId="1" applyFont="1" applyAlignment="1">
      <alignment horizontal="right"/>
    </xf>
    <xf numFmtId="0" fontId="10" fillId="0" borderId="0" xfId="0" applyFont="1" applyAlignment="1">
      <alignment horizontal="right"/>
    </xf>
    <xf numFmtId="165" fontId="3" fillId="0" borderId="0" xfId="8" applyNumberFormat="1" applyFont="1" applyAlignment="1">
      <alignment horizontal="right"/>
    </xf>
    <xf numFmtId="165" fontId="3" fillId="0" borderId="0" xfId="4" applyNumberFormat="1" applyFont="1" applyAlignment="1">
      <alignment horizontal="right"/>
    </xf>
    <xf numFmtId="0" fontId="3" fillId="0" borderId="2" xfId="5" applyBorder="1" applyAlignment="1">
      <alignment horizontal="right"/>
    </xf>
    <xf numFmtId="0" fontId="3" fillId="0" borderId="0" xfId="5" applyAlignment="1">
      <alignment horizontal="right"/>
    </xf>
    <xf numFmtId="44" fontId="0" fillId="0" borderId="0" xfId="6" applyFont="1" applyAlignment="1">
      <alignment horizontal="right"/>
    </xf>
    <xf numFmtId="44" fontId="1" fillId="0" borderId="0" xfId="6" applyFont="1" applyAlignment="1">
      <alignment horizontal="right"/>
    </xf>
    <xf numFmtId="44" fontId="9" fillId="0" borderId="0" xfId="1" applyFont="1" applyAlignment="1">
      <alignment horizontal="right"/>
    </xf>
    <xf numFmtId="44" fontId="1" fillId="0" borderId="0" xfId="1" applyFont="1" applyAlignment="1">
      <alignment horizontal="right"/>
    </xf>
    <xf numFmtId="44" fontId="0" fillId="0" borderId="0" xfId="0" applyNumberFormat="1" applyAlignment="1">
      <alignment horizontal="right"/>
    </xf>
    <xf numFmtId="0" fontId="6" fillId="0" borderId="0" xfId="3" applyBorder="1" applyAlignment="1" applyProtection="1">
      <alignment horizontal="right" vertical="center"/>
    </xf>
    <xf numFmtId="0" fontId="0" fillId="0" borderId="2" xfId="0" applyBorder="1" applyAlignment="1">
      <alignment horizontal="right"/>
    </xf>
    <xf numFmtId="0" fontId="13" fillId="0" borderId="0" xfId="5" applyFont="1" applyAlignment="1">
      <alignment horizontal="center" vertical="center" wrapText="1"/>
    </xf>
    <xf numFmtId="0" fontId="3" fillId="0" borderId="0" xfId="5" applyAlignment="1">
      <alignment horizontal="right"/>
    </xf>
    <xf numFmtId="0" fontId="6" fillId="0" borderId="0" xfId="3" applyBorder="1" applyAlignment="1" applyProtection="1">
      <alignment horizontal="right" vertical="center"/>
    </xf>
    <xf numFmtId="0" fontId="6" fillId="2" borderId="5" xfId="3" applyFill="1" applyBorder="1" applyAlignment="1" applyProtection="1">
      <alignment horizontal="center" vertical="center"/>
    </xf>
    <xf numFmtId="0" fontId="6" fillId="2" borderId="3" xfId="3" applyFill="1" applyBorder="1" applyAlignment="1" applyProtection="1">
      <alignment horizontal="center" vertical="center"/>
    </xf>
    <xf numFmtId="0" fontId="6" fillId="2" borderId="6" xfId="3" applyFill="1" applyBorder="1" applyAlignment="1" applyProtection="1">
      <alignment horizontal="center" vertical="center"/>
    </xf>
    <xf numFmtId="0" fontId="6" fillId="3" borderId="5" xfId="3" applyFill="1" applyBorder="1" applyAlignment="1" applyProtection="1">
      <alignment horizontal="center" vertical="center"/>
    </xf>
    <xf numFmtId="0" fontId="6" fillId="3" borderId="3" xfId="3" applyFill="1" applyBorder="1" applyAlignment="1" applyProtection="1">
      <alignment horizontal="center" vertical="center"/>
    </xf>
    <xf numFmtId="0" fontId="6" fillId="3" borderId="6" xfId="3" applyFill="1" applyBorder="1" applyAlignment="1" applyProtection="1">
      <alignment horizontal="center" vertical="center"/>
    </xf>
    <xf numFmtId="9" fontId="6" fillId="2" borderId="5" xfId="3" applyNumberFormat="1" applyFill="1" applyBorder="1" applyAlignment="1" applyProtection="1">
      <alignment horizontal="center" vertical="center"/>
    </xf>
    <xf numFmtId="9" fontId="6" fillId="2" borderId="3" xfId="3" applyNumberFormat="1" applyFill="1" applyBorder="1" applyAlignment="1" applyProtection="1">
      <alignment horizontal="center" vertical="center"/>
    </xf>
    <xf numFmtId="9" fontId="6" fillId="2" borderId="6" xfId="3" applyNumberFormat="1" applyFill="1" applyBorder="1" applyAlignment="1" applyProtection="1">
      <alignment horizontal="center" vertical="center"/>
    </xf>
    <xf numFmtId="0" fontId="3" fillId="0" borderId="0" xfId="5" applyAlignment="1">
      <alignment wrapText="1"/>
    </xf>
    <xf numFmtId="0" fontId="2" fillId="0" borderId="0" xfId="5" applyFont="1" applyAlignment="1">
      <alignment horizontal="center"/>
    </xf>
    <xf numFmtId="0" fontId="3" fillId="0" borderId="0" xfId="5" applyAlignment="1">
      <alignment horizontal="center"/>
    </xf>
  </cellXfs>
  <cellStyles count="10">
    <cellStyle name="Comma" xfId="8" builtinId="3"/>
    <cellStyle name="Comma 2" xfId="4" xr:uid="{00000000-0005-0000-0000-000001000000}"/>
    <cellStyle name="Currency" xfId="1" builtinId="4"/>
    <cellStyle name="Currency 2" xfId="6" xr:uid="{00000000-0005-0000-0000-000003000000}"/>
    <cellStyle name="Followed Hyperlink" xfId="9" builtinId="9" hidden="1"/>
    <cellStyle name="Hyperlink" xfId="3" builtinId="8"/>
    <cellStyle name="Normal" xfId="0" builtinId="0"/>
    <cellStyle name="Normal 2" xfId="5" xr:uid="{00000000-0005-0000-0000-000007000000}"/>
    <cellStyle name="Percent" xfId="2" builtinId="5"/>
    <cellStyle name="Percent 2" xfId="7" xr:uid="{00000000-0005-0000-0000-000009000000}"/>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31750</xdr:colOff>
      <xdr:row>32</xdr:row>
      <xdr:rowOff>16924</xdr:rowOff>
    </xdr:from>
    <xdr:to>
      <xdr:col>9</xdr:col>
      <xdr:colOff>266700</xdr:colOff>
      <xdr:row>39</xdr:row>
      <xdr:rowOff>25398</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1750" y="6392324"/>
          <a:ext cx="6119283" cy="10752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Some budgets assign a per-box cost for harvest and/or</a:t>
          </a:r>
          <a:r>
            <a:rPr lang="en-US" sz="1100" baseline="0"/>
            <a:t> </a:t>
          </a:r>
          <a:r>
            <a:rPr lang="en-US" sz="1100"/>
            <a:t>packing. This cost is based on a $16.50 hourly rate.</a:t>
          </a:r>
        </a:p>
        <a:p>
          <a:endParaRPr lang="en-US" sz="1100"/>
        </a:p>
        <a:p>
          <a:r>
            <a:rPr lang="en-US" sz="1100"/>
            <a:t>The author gratefully acknowledges contributions and reviews from UK Horticulture Extension Specialist Shawn Wright</a:t>
          </a:r>
          <a:r>
            <a:rPr lang="en-US" sz="1100" baseline="0"/>
            <a:t> and </a:t>
          </a:r>
          <a:r>
            <a:rPr lang="en-US" sz="1100"/>
            <a:t>Extension Entomologist Ric Bessin.</a:t>
          </a:r>
        </a:p>
      </xdr:txBody>
    </xdr:sp>
    <xdr:clientData/>
  </xdr:twoCellAnchor>
  <xdr:twoCellAnchor editAs="absolute">
    <xdr:from>
      <xdr:col>1</xdr:col>
      <xdr:colOff>546108</xdr:colOff>
      <xdr:row>40</xdr:row>
      <xdr:rowOff>16931</xdr:rowOff>
    </xdr:from>
    <xdr:to>
      <xdr:col>3</xdr:col>
      <xdr:colOff>645715</xdr:colOff>
      <xdr:row>43</xdr:row>
      <xdr:rowOff>89953</xdr:rowOff>
    </xdr:to>
    <xdr:pic>
      <xdr:nvPicPr>
        <xdr:cNvPr id="3" name="Picture 2" descr="CCDlogo.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8908" y="7611531"/>
          <a:ext cx="1386540" cy="614889"/>
        </a:xfrm>
        <a:prstGeom prst="rect">
          <a:avLst/>
        </a:prstGeom>
      </xdr:spPr>
    </xdr:pic>
    <xdr:clientData/>
  </xdr:twoCellAnchor>
  <xdr:twoCellAnchor>
    <xdr:from>
      <xdr:col>0</xdr:col>
      <xdr:colOff>0</xdr:colOff>
      <xdr:row>8</xdr:row>
      <xdr:rowOff>0</xdr:rowOff>
    </xdr:from>
    <xdr:to>
      <xdr:col>10</xdr:col>
      <xdr:colOff>8466</xdr:colOff>
      <xdr:row>17</xdr:row>
      <xdr:rowOff>372534</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0" y="1295400"/>
          <a:ext cx="6163733" cy="2116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 commercial vegetable and melon budgets compare and analyze profitability between crops using assumptions developed during the 2022 season. These budgets should not be considered as production recommendations or profitability projections. Production practices vary widely between farms and regions. </a:t>
          </a:r>
        </a:p>
        <a:p>
          <a:endParaRPr lang="en-US" sz="1100"/>
        </a:p>
        <a:p>
          <a:r>
            <a:rPr lang="en-US" sz="1100"/>
            <a:t>Producers may request details for each budget from the Center for Crop Diversification. Budget details will allow greater comparison of budget assumptions with a user's actual field situation.</a:t>
          </a:r>
        </a:p>
        <a:p>
          <a:endParaRPr lang="en-US" sz="1100"/>
        </a:p>
        <a:p>
          <a:r>
            <a:rPr lang="en-US" sz="1100"/>
            <a:t>All values may be changed within each budget worksheet. Most of the worksheets assume all production is sold at the same price, but there is also a blank line for a second </a:t>
          </a:r>
          <a:r>
            <a:rPr lang="en-US" sz="1100" baseline="0"/>
            <a:t>quantity/cost  for users to add if desired, such as already done in sweet potatoes. </a:t>
          </a:r>
          <a:r>
            <a:rPr lang="en-US" sz="1100"/>
            <a:t>Spreadsheet users may also change the most common variables across crops using the cells below:</a:t>
          </a:r>
        </a:p>
      </xdr:txBody>
    </xdr:sp>
    <xdr:clientData/>
  </xdr:twoCellAnchor>
  <xdr:twoCellAnchor editAs="oneCell">
    <xdr:from>
      <xdr:col>5</xdr:col>
      <xdr:colOff>321710</xdr:colOff>
      <xdr:row>1</xdr:row>
      <xdr:rowOff>50801</xdr:rowOff>
    </xdr:from>
    <xdr:to>
      <xdr:col>9</xdr:col>
      <xdr:colOff>224344</xdr:colOff>
      <xdr:row>4</xdr:row>
      <xdr:rowOff>112589</xdr:rowOff>
    </xdr:to>
    <xdr:pic>
      <xdr:nvPicPr>
        <xdr:cNvPr id="6" name="Picture 5" descr="UK_logo_College_CES_wordmark_blk.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79310" y="220134"/>
          <a:ext cx="2167467" cy="5189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44450</xdr:colOff>
      <xdr:row>0</xdr:row>
      <xdr:rowOff>31750</xdr:rowOff>
    </xdr:from>
    <xdr:to>
      <xdr:col>7</xdr:col>
      <xdr:colOff>516846</xdr:colOff>
      <xdr:row>3</xdr:row>
      <xdr:rowOff>106022</xdr:rowOff>
    </xdr:to>
    <xdr:pic>
      <xdr:nvPicPr>
        <xdr:cNvPr id="2" name="Picture 1" descr="CCD Transparent.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31750"/>
          <a:ext cx="1386796" cy="569572"/>
        </a:xfrm>
        <a:prstGeom prst="rect">
          <a:avLst/>
        </a:prstGeom>
      </xdr:spPr>
    </xdr:pic>
    <xdr:clientData/>
  </xdr:twoCellAnchor>
  <xdr:twoCellAnchor>
    <xdr:from>
      <xdr:col>5</xdr:col>
      <xdr:colOff>0</xdr:colOff>
      <xdr:row>4</xdr:row>
      <xdr:rowOff>0</xdr:rowOff>
    </xdr:from>
    <xdr:to>
      <xdr:col>8</xdr:col>
      <xdr:colOff>120650</xdr:colOff>
      <xdr:row>5</xdr:row>
      <xdr:rowOff>38100</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900-000005000000}"/>
            </a:ext>
          </a:extLst>
        </xdr:cNvPr>
        <xdr:cNvSpPr txBox="1"/>
      </xdr:nvSpPr>
      <xdr:spPr>
        <a:xfrm>
          <a:off x="4546600" y="647700"/>
          <a:ext cx="1708150" cy="19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3366FF"/>
              </a:solidFill>
            </a:rPr>
            <a:t>Click here for print version</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673099</xdr:colOff>
      <xdr:row>0</xdr:row>
      <xdr:rowOff>0</xdr:rowOff>
    </xdr:from>
    <xdr:to>
      <xdr:col>7</xdr:col>
      <xdr:colOff>364854</xdr:colOff>
      <xdr:row>3</xdr:row>
      <xdr:rowOff>83141</xdr:rowOff>
    </xdr:to>
    <xdr:pic>
      <xdr:nvPicPr>
        <xdr:cNvPr id="2" name="Picture 1" descr="CCD Transparent.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2799" y="0"/>
          <a:ext cx="1405065" cy="578441"/>
        </a:xfrm>
        <a:prstGeom prst="rect">
          <a:avLst/>
        </a:prstGeom>
      </xdr:spPr>
    </xdr:pic>
    <xdr:clientData/>
  </xdr:twoCellAnchor>
  <xdr:twoCellAnchor>
    <xdr:from>
      <xdr:col>4</xdr:col>
      <xdr:colOff>590550</xdr:colOff>
      <xdr:row>4</xdr:row>
      <xdr:rowOff>0</xdr:rowOff>
    </xdr:from>
    <xdr:to>
      <xdr:col>8</xdr:col>
      <xdr:colOff>107950</xdr:colOff>
      <xdr:row>5</xdr:row>
      <xdr:rowOff>12700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A00-000004000000}"/>
            </a:ext>
          </a:extLst>
        </xdr:cNvPr>
        <xdr:cNvSpPr txBox="1"/>
      </xdr:nvSpPr>
      <xdr:spPr>
        <a:xfrm>
          <a:off x="4540250" y="647700"/>
          <a:ext cx="1866900" cy="165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17536</xdr:colOff>
      <xdr:row>0</xdr:row>
      <xdr:rowOff>6351</xdr:rowOff>
    </xdr:from>
    <xdr:to>
      <xdr:col>8</xdr:col>
      <xdr:colOff>176682</xdr:colOff>
      <xdr:row>3</xdr:row>
      <xdr:rowOff>139701</xdr:rowOff>
    </xdr:to>
    <xdr:pic>
      <xdr:nvPicPr>
        <xdr:cNvPr id="2" name="Picture 1" descr="CCD Transparent.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10236" y="6351"/>
          <a:ext cx="1505348" cy="628650"/>
        </a:xfrm>
        <a:prstGeom prst="rect">
          <a:avLst/>
        </a:prstGeom>
      </xdr:spPr>
    </xdr:pic>
    <xdr:clientData/>
  </xdr:twoCellAnchor>
  <xdr:twoCellAnchor>
    <xdr:from>
      <xdr:col>5</xdr:col>
      <xdr:colOff>215900</xdr:colOff>
      <xdr:row>4</xdr:row>
      <xdr:rowOff>31750</xdr:rowOff>
    </xdr:from>
    <xdr:to>
      <xdr:col>8</xdr:col>
      <xdr:colOff>317500</xdr:colOff>
      <xdr:row>5</xdr:row>
      <xdr:rowOff>19050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B00-000004000000}"/>
            </a:ext>
          </a:extLst>
        </xdr:cNvPr>
        <xdr:cNvSpPr txBox="1"/>
      </xdr:nvSpPr>
      <xdr:spPr>
        <a:xfrm>
          <a:off x="5029200" y="679450"/>
          <a:ext cx="1727200" cy="139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266352</xdr:colOff>
      <xdr:row>0</xdr:row>
      <xdr:rowOff>9023</xdr:rowOff>
    </xdr:from>
    <xdr:to>
      <xdr:col>8</xdr:col>
      <xdr:colOff>152399</xdr:colOff>
      <xdr:row>3</xdr:row>
      <xdr:rowOff>139700</xdr:rowOff>
    </xdr:to>
    <xdr:pic>
      <xdr:nvPicPr>
        <xdr:cNvPr id="2" name="Picture 1" descr="CCD Transparent.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01852" y="9023"/>
          <a:ext cx="1498947" cy="625977"/>
        </a:xfrm>
        <a:prstGeom prst="rect">
          <a:avLst/>
        </a:prstGeom>
      </xdr:spPr>
    </xdr:pic>
    <xdr:clientData/>
  </xdr:twoCellAnchor>
  <xdr:twoCellAnchor>
    <xdr:from>
      <xdr:col>5</xdr:col>
      <xdr:colOff>190500</xdr:colOff>
      <xdr:row>4</xdr:row>
      <xdr:rowOff>31750</xdr:rowOff>
    </xdr:from>
    <xdr:to>
      <xdr:col>8</xdr:col>
      <xdr:colOff>342900</xdr:colOff>
      <xdr:row>5</xdr:row>
      <xdr:rowOff>63500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C00-000004000000}"/>
            </a:ext>
          </a:extLst>
        </xdr:cNvPr>
        <xdr:cNvSpPr txBox="1"/>
      </xdr:nvSpPr>
      <xdr:spPr>
        <a:xfrm>
          <a:off x="4826000" y="679450"/>
          <a:ext cx="1765300" cy="184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127001</xdr:colOff>
      <xdr:row>0</xdr:row>
      <xdr:rowOff>3937</xdr:rowOff>
    </xdr:from>
    <xdr:to>
      <xdr:col>8</xdr:col>
      <xdr:colOff>245</xdr:colOff>
      <xdr:row>3</xdr:row>
      <xdr:rowOff>107951</xdr:rowOff>
    </xdr:to>
    <xdr:pic>
      <xdr:nvPicPr>
        <xdr:cNvPr id="2" name="Picture 1" descr="CCD Transparent.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24401" y="3937"/>
          <a:ext cx="1435100" cy="599314"/>
        </a:xfrm>
        <a:prstGeom prst="rect">
          <a:avLst/>
        </a:prstGeom>
      </xdr:spPr>
    </xdr:pic>
    <xdr:clientData/>
  </xdr:twoCellAnchor>
  <xdr:twoCellAnchor>
    <xdr:from>
      <xdr:col>5</xdr:col>
      <xdr:colOff>63500</xdr:colOff>
      <xdr:row>4</xdr:row>
      <xdr:rowOff>0</xdr:rowOff>
    </xdr:from>
    <xdr:to>
      <xdr:col>8</xdr:col>
      <xdr:colOff>203200</xdr:colOff>
      <xdr:row>5</xdr:row>
      <xdr:rowOff>25400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D00-000004000000}"/>
            </a:ext>
          </a:extLst>
        </xdr:cNvPr>
        <xdr:cNvSpPr txBox="1"/>
      </xdr:nvSpPr>
      <xdr:spPr>
        <a:xfrm>
          <a:off x="4660900" y="647700"/>
          <a:ext cx="1714500" cy="17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76201</xdr:colOff>
      <xdr:row>0</xdr:row>
      <xdr:rowOff>0</xdr:rowOff>
    </xdr:from>
    <xdr:to>
      <xdr:col>8</xdr:col>
      <xdr:colOff>31751</xdr:colOff>
      <xdr:row>3</xdr:row>
      <xdr:rowOff>50289</xdr:rowOff>
    </xdr:to>
    <xdr:pic>
      <xdr:nvPicPr>
        <xdr:cNvPr id="2" name="Picture 1" descr="CCD Transparent.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73601" y="0"/>
          <a:ext cx="1301750" cy="545589"/>
        </a:xfrm>
        <a:prstGeom prst="rect">
          <a:avLst/>
        </a:prstGeom>
      </xdr:spPr>
    </xdr:pic>
    <xdr:clientData/>
  </xdr:twoCellAnchor>
  <xdr:twoCellAnchor>
    <xdr:from>
      <xdr:col>6</xdr:col>
      <xdr:colOff>0</xdr:colOff>
      <xdr:row>3</xdr:row>
      <xdr:rowOff>76200</xdr:rowOff>
    </xdr:from>
    <xdr:to>
      <xdr:col>8</xdr:col>
      <xdr:colOff>577850</xdr:colOff>
      <xdr:row>4</xdr:row>
      <xdr:rowOff>133350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E00-000004000000}"/>
            </a:ext>
          </a:extLst>
        </xdr:cNvPr>
        <xdr:cNvSpPr txBox="1"/>
      </xdr:nvSpPr>
      <xdr:spPr>
        <a:xfrm>
          <a:off x="4597400" y="571500"/>
          <a:ext cx="1924050" cy="20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184151</xdr:colOff>
      <xdr:row>0</xdr:row>
      <xdr:rowOff>6351</xdr:rowOff>
    </xdr:from>
    <xdr:to>
      <xdr:col>8</xdr:col>
      <xdr:colOff>1</xdr:colOff>
      <xdr:row>3</xdr:row>
      <xdr:rowOff>91239</xdr:rowOff>
    </xdr:to>
    <xdr:pic>
      <xdr:nvPicPr>
        <xdr:cNvPr id="2" name="Picture 1" descr="CCD Transparent.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83151" y="6351"/>
          <a:ext cx="1384300" cy="580188"/>
        </a:xfrm>
        <a:prstGeom prst="rect">
          <a:avLst/>
        </a:prstGeom>
      </xdr:spPr>
    </xdr:pic>
    <xdr:clientData/>
  </xdr:twoCellAnchor>
  <xdr:twoCellAnchor>
    <xdr:from>
      <xdr:col>5</xdr:col>
      <xdr:colOff>127000</xdr:colOff>
      <xdr:row>4</xdr:row>
      <xdr:rowOff>0</xdr:rowOff>
    </xdr:from>
    <xdr:to>
      <xdr:col>8</xdr:col>
      <xdr:colOff>82550</xdr:colOff>
      <xdr:row>5</xdr:row>
      <xdr:rowOff>25400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F00-000004000000}"/>
            </a:ext>
          </a:extLst>
        </xdr:cNvPr>
        <xdr:cNvSpPr txBox="1"/>
      </xdr:nvSpPr>
      <xdr:spPr>
        <a:xfrm>
          <a:off x="4826000" y="647700"/>
          <a:ext cx="1530350" cy="17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solidFill>
                <a:srgbClr val="3366FF"/>
              </a:solidFill>
              <a:latin typeface="Arial"/>
              <a:cs typeface="Arial"/>
            </a:rPr>
            <a:t>Click here</a:t>
          </a:r>
          <a:r>
            <a:rPr lang="en-US" sz="900" baseline="0">
              <a:solidFill>
                <a:srgbClr val="3366FF"/>
              </a:solidFill>
              <a:latin typeface="Arial"/>
              <a:cs typeface="Arial"/>
            </a:rPr>
            <a:t> for print version</a:t>
          </a:r>
          <a:endParaRPr lang="en-US" sz="900">
            <a:solidFill>
              <a:srgbClr val="3366FF"/>
            </a:solidFill>
            <a:latin typeface="Arial"/>
            <a:cs typeface="Aria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6350</xdr:colOff>
      <xdr:row>0</xdr:row>
      <xdr:rowOff>19051</xdr:rowOff>
    </xdr:from>
    <xdr:to>
      <xdr:col>8</xdr:col>
      <xdr:colOff>177800</xdr:colOff>
      <xdr:row>3</xdr:row>
      <xdr:rowOff>147067</xdr:rowOff>
    </xdr:to>
    <xdr:pic>
      <xdr:nvPicPr>
        <xdr:cNvPr id="2" name="Picture 1" descr="CCD Transparent.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21250" y="19051"/>
          <a:ext cx="1517650" cy="623316"/>
        </a:xfrm>
        <a:prstGeom prst="rect">
          <a:avLst/>
        </a:prstGeom>
      </xdr:spPr>
    </xdr:pic>
    <xdr:clientData/>
  </xdr:twoCellAnchor>
  <xdr:twoCellAnchor>
    <xdr:from>
      <xdr:col>5</xdr:col>
      <xdr:colOff>133350</xdr:colOff>
      <xdr:row>4</xdr:row>
      <xdr:rowOff>25400</xdr:rowOff>
    </xdr:from>
    <xdr:to>
      <xdr:col>8</xdr:col>
      <xdr:colOff>469900</xdr:colOff>
      <xdr:row>5</xdr:row>
      <xdr:rowOff>63500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000-000004000000}"/>
            </a:ext>
          </a:extLst>
        </xdr:cNvPr>
        <xdr:cNvSpPr txBox="1"/>
      </xdr:nvSpPr>
      <xdr:spPr>
        <a:xfrm>
          <a:off x="4845050" y="673100"/>
          <a:ext cx="1885950" cy="19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412750</xdr:colOff>
      <xdr:row>0</xdr:row>
      <xdr:rowOff>3175</xdr:rowOff>
    </xdr:from>
    <xdr:to>
      <xdr:col>6</xdr:col>
      <xdr:colOff>511506</xdr:colOff>
      <xdr:row>3</xdr:row>
      <xdr:rowOff>31750</xdr:rowOff>
    </xdr:to>
    <xdr:pic>
      <xdr:nvPicPr>
        <xdr:cNvPr id="2" name="Picture 1" descr="CCD Transparent.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70550" y="3175"/>
          <a:ext cx="1254456" cy="523875"/>
        </a:xfrm>
        <a:prstGeom prst="rect">
          <a:avLst/>
        </a:prstGeom>
      </xdr:spPr>
    </xdr:pic>
    <xdr:clientData/>
  </xdr:twoCellAnchor>
  <xdr:twoCellAnchor>
    <xdr:from>
      <xdr:col>4</xdr:col>
      <xdr:colOff>342900</xdr:colOff>
      <xdr:row>3</xdr:row>
      <xdr:rowOff>69850</xdr:rowOff>
    </xdr:from>
    <xdr:to>
      <xdr:col>7</xdr:col>
      <xdr:colOff>501650</xdr:colOff>
      <xdr:row>4</xdr:row>
      <xdr:rowOff>120650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xdr:nvSpPr>
      <xdr:spPr>
        <a:xfrm>
          <a:off x="5600700" y="565150"/>
          <a:ext cx="1809750" cy="20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107950</xdr:colOff>
      <xdr:row>0</xdr:row>
      <xdr:rowOff>19051</xdr:rowOff>
    </xdr:from>
    <xdr:to>
      <xdr:col>6</xdr:col>
      <xdr:colOff>358776</xdr:colOff>
      <xdr:row>3</xdr:row>
      <xdr:rowOff>64725</xdr:rowOff>
    </xdr:to>
    <xdr:pic>
      <xdr:nvPicPr>
        <xdr:cNvPr id="2" name="Picture 1" descr="CCD Transparent.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65750" y="19051"/>
          <a:ext cx="1295400" cy="540974"/>
        </a:xfrm>
        <a:prstGeom prst="rect">
          <a:avLst/>
        </a:prstGeom>
      </xdr:spPr>
    </xdr:pic>
    <xdr:clientData/>
  </xdr:twoCellAnchor>
  <xdr:twoCellAnchor>
    <xdr:from>
      <xdr:col>4</xdr:col>
      <xdr:colOff>31750</xdr:colOff>
      <xdr:row>3</xdr:row>
      <xdr:rowOff>101600</xdr:rowOff>
    </xdr:from>
    <xdr:to>
      <xdr:col>7</xdr:col>
      <xdr:colOff>184150</xdr:colOff>
      <xdr:row>4</xdr:row>
      <xdr:rowOff>101600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200-000004000000}"/>
            </a:ext>
          </a:extLst>
        </xdr:cNvPr>
        <xdr:cNvSpPr txBox="1"/>
      </xdr:nvSpPr>
      <xdr:spPr>
        <a:xfrm>
          <a:off x="5289550" y="596900"/>
          <a:ext cx="1803400" cy="15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609454</xdr:colOff>
      <xdr:row>0</xdr:row>
      <xdr:rowOff>6351</xdr:rowOff>
    </xdr:from>
    <xdr:to>
      <xdr:col>7</xdr:col>
      <xdr:colOff>101599</xdr:colOff>
      <xdr:row>3</xdr:row>
      <xdr:rowOff>101601</xdr:rowOff>
    </xdr:to>
    <xdr:pic>
      <xdr:nvPicPr>
        <xdr:cNvPr id="2" name="Picture 1" descr="CCD Transparent.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24254" y="6351"/>
          <a:ext cx="1460645" cy="590550"/>
        </a:xfrm>
        <a:prstGeom prst="rect">
          <a:avLst/>
        </a:prstGeom>
      </xdr:spPr>
    </xdr:pic>
    <xdr:clientData/>
  </xdr:twoCellAnchor>
  <xdr:twoCellAnchor>
    <xdr:from>
      <xdr:col>4</xdr:col>
      <xdr:colOff>546100</xdr:colOff>
      <xdr:row>4</xdr:row>
      <xdr:rowOff>0</xdr:rowOff>
    </xdr:from>
    <xdr:to>
      <xdr:col>7</xdr:col>
      <xdr:colOff>457200</xdr:colOff>
      <xdr:row>5</xdr:row>
      <xdr:rowOff>38100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4660900" y="647700"/>
          <a:ext cx="1879600" cy="19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0" i="0">
              <a:solidFill>
                <a:srgbClr val="3366FF"/>
              </a:solidFill>
              <a:latin typeface="Arial"/>
              <a:cs typeface="Arial"/>
            </a:rPr>
            <a:t>Click here for print version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275201</xdr:colOff>
      <xdr:row>0</xdr:row>
      <xdr:rowOff>17238</xdr:rowOff>
    </xdr:from>
    <xdr:to>
      <xdr:col>8</xdr:col>
      <xdr:colOff>47557</xdr:colOff>
      <xdr:row>3</xdr:row>
      <xdr:rowOff>115824</xdr:rowOff>
    </xdr:to>
    <xdr:pic>
      <xdr:nvPicPr>
        <xdr:cNvPr id="2" name="Picture 1" descr="CCD Transparent.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40780" y="17238"/>
          <a:ext cx="1430039" cy="599902"/>
        </a:xfrm>
        <a:prstGeom prst="rect">
          <a:avLst/>
        </a:prstGeom>
      </xdr:spPr>
    </xdr:pic>
    <xdr:clientData/>
  </xdr:twoCellAnchor>
  <xdr:twoCellAnchor>
    <xdr:from>
      <xdr:col>5</xdr:col>
      <xdr:colOff>207211</xdr:colOff>
      <xdr:row>4</xdr:row>
      <xdr:rowOff>0</xdr:rowOff>
    </xdr:from>
    <xdr:to>
      <xdr:col>8</xdr:col>
      <xdr:colOff>263502</xdr:colOff>
      <xdr:row>5</xdr:row>
      <xdr:rowOff>6350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200-000005000000}"/>
            </a:ext>
          </a:extLst>
        </xdr:cNvPr>
        <xdr:cNvSpPr txBox="1"/>
      </xdr:nvSpPr>
      <xdr:spPr>
        <a:xfrm>
          <a:off x="4872790" y="655053"/>
          <a:ext cx="1713975" cy="1600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0" i="0">
              <a:solidFill>
                <a:srgbClr val="3366FF"/>
              </a:solidFill>
              <a:latin typeface="Arial"/>
              <a:cs typeface="Arial"/>
            </a:rPr>
            <a:t>Click here for print version</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69850</xdr:colOff>
      <xdr:row>0</xdr:row>
      <xdr:rowOff>0</xdr:rowOff>
    </xdr:from>
    <xdr:to>
      <xdr:col>7</xdr:col>
      <xdr:colOff>587375</xdr:colOff>
      <xdr:row>3</xdr:row>
      <xdr:rowOff>118892</xdr:rowOff>
    </xdr:to>
    <xdr:pic>
      <xdr:nvPicPr>
        <xdr:cNvPr id="2" name="Picture 1" descr="CCD Transparent.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56150" y="0"/>
          <a:ext cx="1479550" cy="614192"/>
        </a:xfrm>
        <a:prstGeom prst="rect">
          <a:avLst/>
        </a:prstGeom>
      </xdr:spPr>
    </xdr:pic>
    <xdr:clientData/>
  </xdr:twoCellAnchor>
  <xdr:twoCellAnchor>
    <xdr:from>
      <xdr:col>5</xdr:col>
      <xdr:colOff>0</xdr:colOff>
      <xdr:row>4</xdr:row>
      <xdr:rowOff>0</xdr:rowOff>
    </xdr:from>
    <xdr:to>
      <xdr:col>8</xdr:col>
      <xdr:colOff>215900</xdr:colOff>
      <xdr:row>5</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xdr:nvSpPr>
      <xdr:spPr>
        <a:xfrm>
          <a:off x="4686300" y="647700"/>
          <a:ext cx="1803400" cy="15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0" i="0">
              <a:solidFill>
                <a:srgbClr val="3366FF"/>
              </a:solidFill>
              <a:latin typeface="Arial"/>
              <a:cs typeface="Arial"/>
            </a:rPr>
            <a:t>Click here for print version</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69850</xdr:colOff>
      <xdr:row>0</xdr:row>
      <xdr:rowOff>19050</xdr:rowOff>
    </xdr:from>
    <xdr:to>
      <xdr:col>7</xdr:col>
      <xdr:colOff>139700</xdr:colOff>
      <xdr:row>3</xdr:row>
      <xdr:rowOff>117245</xdr:rowOff>
    </xdr:to>
    <xdr:pic>
      <xdr:nvPicPr>
        <xdr:cNvPr id="2" name="Picture 1" descr="CCD Transparent.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9650" y="19050"/>
          <a:ext cx="1416050" cy="593495"/>
        </a:xfrm>
        <a:prstGeom prst="rect">
          <a:avLst/>
        </a:prstGeom>
      </xdr:spPr>
    </xdr:pic>
    <xdr:clientData/>
  </xdr:twoCellAnchor>
  <xdr:twoCellAnchor>
    <xdr:from>
      <xdr:col>5</xdr:col>
      <xdr:colOff>0</xdr:colOff>
      <xdr:row>4</xdr:row>
      <xdr:rowOff>0</xdr:rowOff>
    </xdr:from>
    <xdr:to>
      <xdr:col>7</xdr:col>
      <xdr:colOff>374650</xdr:colOff>
      <xdr:row>5</xdr:row>
      <xdr:rowOff>25400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400-000004000000}"/>
            </a:ext>
          </a:extLst>
        </xdr:cNvPr>
        <xdr:cNvSpPr txBox="1"/>
      </xdr:nvSpPr>
      <xdr:spPr>
        <a:xfrm>
          <a:off x="6019800" y="647700"/>
          <a:ext cx="1720850" cy="17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242207</xdr:colOff>
      <xdr:row>0</xdr:row>
      <xdr:rowOff>1</xdr:rowOff>
    </xdr:from>
    <xdr:to>
      <xdr:col>8</xdr:col>
      <xdr:colOff>129268</xdr:colOff>
      <xdr:row>3</xdr:row>
      <xdr:rowOff>128215</xdr:rowOff>
    </xdr:to>
    <xdr:pic>
      <xdr:nvPicPr>
        <xdr:cNvPr id="2" name="Picture 1" descr="CCD Transparent.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0" y="1"/>
          <a:ext cx="1492250" cy="621700"/>
        </a:xfrm>
        <a:prstGeom prst="rect">
          <a:avLst/>
        </a:prstGeom>
      </xdr:spPr>
    </xdr:pic>
    <xdr:clientData/>
  </xdr:twoCellAnchor>
  <xdr:twoCellAnchor>
    <xdr:from>
      <xdr:col>5</xdr:col>
      <xdr:colOff>159654</xdr:colOff>
      <xdr:row>4</xdr:row>
      <xdr:rowOff>21771</xdr:rowOff>
    </xdr:from>
    <xdr:to>
      <xdr:col>8</xdr:col>
      <xdr:colOff>280304</xdr:colOff>
      <xdr:row>5</xdr:row>
      <xdr:rowOff>9071</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500-000004000000}"/>
            </a:ext>
          </a:extLst>
        </xdr:cNvPr>
        <xdr:cNvSpPr txBox="1"/>
      </xdr:nvSpPr>
      <xdr:spPr>
        <a:xfrm>
          <a:off x="4775197" y="667657"/>
          <a:ext cx="1724478" cy="139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6349</xdr:colOff>
      <xdr:row>0</xdr:row>
      <xdr:rowOff>0</xdr:rowOff>
    </xdr:from>
    <xdr:to>
      <xdr:col>7</xdr:col>
      <xdr:colOff>476250</xdr:colOff>
      <xdr:row>3</xdr:row>
      <xdr:rowOff>82799</xdr:rowOff>
    </xdr:to>
    <xdr:pic>
      <xdr:nvPicPr>
        <xdr:cNvPr id="2" name="Picture 1" descr="CCD Transparent.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56149" y="0"/>
          <a:ext cx="1384301" cy="578099"/>
        </a:xfrm>
        <a:prstGeom prst="rect">
          <a:avLst/>
        </a:prstGeom>
      </xdr:spPr>
    </xdr:pic>
    <xdr:clientData/>
  </xdr:twoCellAnchor>
  <xdr:twoCellAnchor>
    <xdr:from>
      <xdr:col>4</xdr:col>
      <xdr:colOff>596900</xdr:colOff>
      <xdr:row>4</xdr:row>
      <xdr:rowOff>0</xdr:rowOff>
    </xdr:from>
    <xdr:to>
      <xdr:col>8</xdr:col>
      <xdr:colOff>203200</xdr:colOff>
      <xdr:row>4</xdr:row>
      <xdr:rowOff>146050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600-000004000000}"/>
            </a:ext>
          </a:extLst>
        </xdr:cNvPr>
        <xdr:cNvSpPr txBox="1"/>
      </xdr:nvSpPr>
      <xdr:spPr>
        <a:xfrm>
          <a:off x="4686300" y="647700"/>
          <a:ext cx="1854200" cy="146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222250</xdr:colOff>
      <xdr:row>0</xdr:row>
      <xdr:rowOff>12700</xdr:rowOff>
    </xdr:from>
    <xdr:to>
      <xdr:col>8</xdr:col>
      <xdr:colOff>19051</xdr:colOff>
      <xdr:row>3</xdr:row>
      <xdr:rowOff>95499</xdr:rowOff>
    </xdr:to>
    <xdr:pic>
      <xdr:nvPicPr>
        <xdr:cNvPr id="4" name="Picture 3" descr="CCD Transparent.png">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56150" y="12700"/>
          <a:ext cx="1384301" cy="578099"/>
        </a:xfrm>
        <a:prstGeom prst="rect">
          <a:avLst/>
        </a:prstGeom>
      </xdr:spPr>
    </xdr:pic>
    <xdr:clientData/>
  </xdr:twoCellAnchor>
  <xdr:twoCellAnchor>
    <xdr:from>
      <xdr:col>5</xdr:col>
      <xdr:colOff>152400</xdr:colOff>
      <xdr:row>4</xdr:row>
      <xdr:rowOff>0</xdr:rowOff>
    </xdr:from>
    <xdr:to>
      <xdr:col>8</xdr:col>
      <xdr:colOff>273050</xdr:colOff>
      <xdr:row>5</xdr:row>
      <xdr:rowOff>19050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700-000005000000}"/>
            </a:ext>
          </a:extLst>
        </xdr:cNvPr>
        <xdr:cNvSpPr txBox="1"/>
      </xdr:nvSpPr>
      <xdr:spPr>
        <a:xfrm>
          <a:off x="4686300" y="647700"/>
          <a:ext cx="1708150" cy="17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190501</xdr:colOff>
      <xdr:row>0</xdr:row>
      <xdr:rowOff>21431</xdr:rowOff>
    </xdr:from>
    <xdr:to>
      <xdr:col>8</xdr:col>
      <xdr:colOff>44451</xdr:colOff>
      <xdr:row>3</xdr:row>
      <xdr:rowOff>133798</xdr:rowOff>
    </xdr:to>
    <xdr:pic>
      <xdr:nvPicPr>
        <xdr:cNvPr id="2" name="Picture 1" descr="CCD Transparent.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60901" y="21431"/>
          <a:ext cx="1479550" cy="607667"/>
        </a:xfrm>
        <a:prstGeom prst="rect">
          <a:avLst/>
        </a:prstGeom>
      </xdr:spPr>
    </xdr:pic>
    <xdr:clientData/>
  </xdr:twoCellAnchor>
  <xdr:twoCellAnchor>
    <xdr:from>
      <xdr:col>5</xdr:col>
      <xdr:colOff>127000</xdr:colOff>
      <xdr:row>4</xdr:row>
      <xdr:rowOff>25400</xdr:rowOff>
    </xdr:from>
    <xdr:to>
      <xdr:col>8</xdr:col>
      <xdr:colOff>254000</xdr:colOff>
      <xdr:row>5</xdr:row>
      <xdr:rowOff>44450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800-000004000000}"/>
            </a:ext>
          </a:extLst>
        </xdr:cNvPr>
        <xdr:cNvSpPr txBox="1"/>
      </xdr:nvSpPr>
      <xdr:spPr>
        <a:xfrm>
          <a:off x="4597400" y="673100"/>
          <a:ext cx="1752600" cy="17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uky.edu/ccd"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47"/>
  <sheetViews>
    <sheetView tabSelected="1" topLeftCell="A28" zoomScale="167" zoomScaleNormal="167" zoomScalePageLayoutView="130" workbookViewId="0">
      <selection activeCell="E3" sqref="E3"/>
    </sheetView>
  </sheetViews>
  <sheetFormatPr baseColWidth="10" defaultColWidth="8.83203125" defaultRowHeight="13" x14ac:dyDescent="0.15"/>
  <cols>
    <col min="1" max="1" width="10.6640625" customWidth="1"/>
    <col min="2" max="2" width="16.83203125" customWidth="1"/>
    <col min="3" max="3" width="8.83203125" hidden="1" customWidth="1"/>
    <col min="4" max="4" width="11.5" customWidth="1"/>
    <col min="6" max="6" width="6.33203125" customWidth="1"/>
    <col min="7" max="7" width="7.83203125" customWidth="1"/>
    <col min="8" max="8" width="7.6640625" customWidth="1"/>
    <col min="9" max="9" width="7.33203125" customWidth="1"/>
    <col min="10" max="10" width="3.5" customWidth="1"/>
  </cols>
  <sheetData>
    <row r="1" spans="1:10" s="7" customFormat="1" ht="14" thickBot="1" x14ac:dyDescent="0.2">
      <c r="A1" s="40"/>
      <c r="B1" s="40"/>
      <c r="C1" s="40"/>
      <c r="D1" s="40"/>
      <c r="E1" s="40"/>
      <c r="F1" s="40"/>
      <c r="G1" s="40"/>
      <c r="H1" s="40"/>
      <c r="I1" s="40"/>
      <c r="J1" s="40"/>
    </row>
    <row r="2" spans="1:10" s="7" customFormat="1" x14ac:dyDescent="0.15"/>
    <row r="3" spans="1:10" s="7" customFormat="1" x14ac:dyDescent="0.15">
      <c r="A3" s="6" t="s">
        <v>0</v>
      </c>
    </row>
    <row r="4" spans="1:10" s="7" customFormat="1" x14ac:dyDescent="0.15">
      <c r="A4" s="6" t="s">
        <v>226</v>
      </c>
    </row>
    <row r="5" spans="1:10" s="7" customFormat="1" ht="14" thickBot="1" x14ac:dyDescent="0.2">
      <c r="A5" s="40"/>
      <c r="B5" s="40"/>
      <c r="C5" s="40"/>
      <c r="D5" s="40"/>
      <c r="E5" s="40"/>
      <c r="F5" s="40"/>
      <c r="G5" s="40"/>
      <c r="H5" s="40"/>
      <c r="I5" s="40"/>
      <c r="J5" s="40"/>
    </row>
    <row r="6" spans="1:10" s="7" customFormat="1" ht="7" customHeight="1" x14ac:dyDescent="0.15"/>
    <row r="7" spans="1:10" s="7" customFormat="1" ht="20" x14ac:dyDescent="0.2">
      <c r="A7" s="119" t="s">
        <v>254</v>
      </c>
      <c r="B7" s="119"/>
      <c r="C7" s="119"/>
      <c r="D7" s="119"/>
      <c r="E7" s="119"/>
      <c r="F7" s="119"/>
      <c r="G7" s="119"/>
      <c r="H7" s="119"/>
      <c r="I7" s="119"/>
      <c r="J7" s="41"/>
    </row>
    <row r="8" spans="1:10" s="7" customFormat="1" ht="14" customHeight="1" x14ac:dyDescent="0.15">
      <c r="A8" s="120" t="s">
        <v>1</v>
      </c>
      <c r="B8" s="120"/>
      <c r="C8" s="120"/>
      <c r="D8" s="120"/>
      <c r="E8" s="120"/>
      <c r="F8" s="120"/>
      <c r="G8" s="120"/>
      <c r="H8" s="120"/>
      <c r="I8" s="120"/>
      <c r="J8" s="120"/>
    </row>
    <row r="9" spans="1:10" s="7" customFormat="1" x14ac:dyDescent="0.15"/>
    <row r="10" spans="1:10" s="7" customFormat="1" x14ac:dyDescent="0.15"/>
    <row r="11" spans="1:10" s="7" customFormat="1" x14ac:dyDescent="0.15"/>
    <row r="12" spans="1:10" s="7" customFormat="1" ht="24.75" customHeight="1" x14ac:dyDescent="0.15">
      <c r="A12" s="118"/>
      <c r="B12" s="118"/>
      <c r="C12" s="118"/>
      <c r="D12" s="118"/>
      <c r="E12" s="118"/>
      <c r="F12" s="118"/>
      <c r="G12" s="118"/>
      <c r="H12" s="118"/>
    </row>
    <row r="13" spans="1:10" s="7" customFormat="1" x14ac:dyDescent="0.15"/>
    <row r="14" spans="1:10" s="7" customFormat="1" ht="24" customHeight="1" x14ac:dyDescent="0.15">
      <c r="A14" s="118"/>
      <c r="B14" s="118"/>
      <c r="C14" s="118"/>
      <c r="D14" s="118"/>
      <c r="E14" s="118"/>
      <c r="F14" s="118"/>
      <c r="G14" s="118"/>
      <c r="H14" s="118"/>
    </row>
    <row r="15" spans="1:10" s="7" customFormat="1" x14ac:dyDescent="0.15"/>
    <row r="16" spans="1:10" s="7" customFormat="1" ht="14.25" customHeight="1" x14ac:dyDescent="0.15">
      <c r="A16" s="118"/>
      <c r="B16" s="118"/>
      <c r="C16" s="118"/>
      <c r="D16" s="118"/>
      <c r="E16" s="118"/>
      <c r="F16" s="118"/>
      <c r="G16" s="118"/>
      <c r="H16" s="118"/>
      <c r="I16" s="42"/>
      <c r="J16" s="42"/>
    </row>
    <row r="17" spans="1:10" s="7" customFormat="1" ht="15" customHeight="1" x14ac:dyDescent="0.15">
      <c r="A17" s="42"/>
      <c r="B17" s="42"/>
      <c r="C17" s="42"/>
      <c r="D17" s="42"/>
      <c r="E17" s="42"/>
      <c r="F17" s="42"/>
      <c r="G17" s="42"/>
      <c r="H17" s="42"/>
      <c r="I17" s="42"/>
      <c r="J17" s="42"/>
    </row>
    <row r="18" spans="1:10" s="7" customFormat="1" ht="35" customHeight="1" thickBot="1" x14ac:dyDescent="0.2">
      <c r="A18" s="40"/>
      <c r="B18" s="40"/>
      <c r="C18" s="40"/>
      <c r="D18" s="40"/>
      <c r="E18" s="40"/>
      <c r="F18" s="40"/>
      <c r="G18" s="40"/>
      <c r="H18" s="40"/>
      <c r="I18" s="40"/>
      <c r="J18" s="40"/>
    </row>
    <row r="19" spans="1:10" ht="14" customHeight="1" x14ac:dyDescent="0.15">
      <c r="A19" s="2" t="s">
        <v>227</v>
      </c>
    </row>
    <row r="21" spans="1:10" x14ac:dyDescent="0.15">
      <c r="A21" t="s">
        <v>2</v>
      </c>
      <c r="D21" s="4">
        <v>16.5</v>
      </c>
      <c r="E21" t="s">
        <v>3</v>
      </c>
    </row>
    <row r="22" spans="1:10" x14ac:dyDescent="0.15">
      <c r="A22" t="s">
        <v>4</v>
      </c>
      <c r="D22" s="4">
        <v>16.5</v>
      </c>
      <c r="E22" t="s">
        <v>3</v>
      </c>
    </row>
    <row r="23" spans="1:10" x14ac:dyDescent="0.15">
      <c r="A23" t="s">
        <v>5</v>
      </c>
      <c r="D23" s="5">
        <v>0.1</v>
      </c>
      <c r="E23" s="3" t="s">
        <v>6</v>
      </c>
    </row>
    <row r="24" spans="1:10" ht="14" thickBot="1" x14ac:dyDescent="0.2">
      <c r="A24" s="1" t="s">
        <v>7</v>
      </c>
      <c r="B24" s="1"/>
      <c r="C24" s="1"/>
      <c r="D24" s="43">
        <v>0.06</v>
      </c>
      <c r="E24" s="47" t="s">
        <v>8</v>
      </c>
      <c r="F24" s="1"/>
      <c r="G24" s="1"/>
      <c r="H24" s="1"/>
      <c r="I24" s="1"/>
      <c r="J24" s="1"/>
    </row>
    <row r="25" spans="1:10" ht="20" customHeight="1" x14ac:dyDescent="0.15">
      <c r="A25" s="6" t="s">
        <v>163</v>
      </c>
      <c r="B25" s="7"/>
      <c r="C25" s="7"/>
      <c r="D25" s="5"/>
      <c r="E25" s="7"/>
      <c r="F25" s="7"/>
      <c r="G25" s="7"/>
      <c r="H25" s="7"/>
      <c r="I25" s="7"/>
      <c r="J25" s="7"/>
    </row>
    <row r="26" spans="1:10" ht="20" customHeight="1" x14ac:dyDescent="0.15">
      <c r="A26" s="109" t="s">
        <v>164</v>
      </c>
      <c r="B26" s="110"/>
      <c r="C26" s="111"/>
      <c r="D26" s="112" t="s">
        <v>60</v>
      </c>
      <c r="E26" s="113"/>
      <c r="F26" s="114"/>
      <c r="G26" s="115" t="s">
        <v>79</v>
      </c>
      <c r="H26" s="116"/>
      <c r="I26" s="116"/>
      <c r="J26" s="117"/>
    </row>
    <row r="27" spans="1:10" ht="20" customHeight="1" x14ac:dyDescent="0.15">
      <c r="A27" s="112" t="s">
        <v>165</v>
      </c>
      <c r="B27" s="113"/>
      <c r="C27" s="114"/>
      <c r="D27" s="109" t="s">
        <v>166</v>
      </c>
      <c r="E27" s="110"/>
      <c r="F27" s="111"/>
      <c r="G27" s="112" t="s">
        <v>105</v>
      </c>
      <c r="H27" s="113"/>
      <c r="I27" s="113"/>
      <c r="J27" s="114"/>
    </row>
    <row r="28" spans="1:10" ht="20" customHeight="1" x14ac:dyDescent="0.15">
      <c r="A28" s="109" t="s">
        <v>111</v>
      </c>
      <c r="B28" s="110"/>
      <c r="C28" s="111"/>
      <c r="D28" s="112" t="s">
        <v>167</v>
      </c>
      <c r="E28" s="113"/>
      <c r="F28" s="114"/>
      <c r="G28" s="109" t="s">
        <v>168</v>
      </c>
      <c r="H28" s="110"/>
      <c r="I28" s="110"/>
      <c r="J28" s="111"/>
    </row>
    <row r="29" spans="1:10" ht="20" customHeight="1" x14ac:dyDescent="0.15">
      <c r="A29" s="112" t="s">
        <v>134</v>
      </c>
      <c r="B29" s="113"/>
      <c r="C29" s="114"/>
      <c r="D29" s="109" t="s">
        <v>169</v>
      </c>
      <c r="E29" s="110"/>
      <c r="F29" s="111"/>
      <c r="G29" s="112" t="s">
        <v>170</v>
      </c>
      <c r="H29" s="113"/>
      <c r="I29" s="113"/>
      <c r="J29" s="114"/>
    </row>
    <row r="30" spans="1:10" ht="20" customHeight="1" x14ac:dyDescent="0.15">
      <c r="A30" s="109" t="s">
        <v>171</v>
      </c>
      <c r="B30" s="110"/>
      <c r="C30" s="111"/>
      <c r="D30" s="112" t="s">
        <v>172</v>
      </c>
      <c r="E30" s="113"/>
      <c r="F30" s="114"/>
      <c r="G30" s="109" t="s">
        <v>173</v>
      </c>
      <c r="H30" s="110"/>
      <c r="I30" s="110"/>
      <c r="J30" s="111"/>
    </row>
    <row r="31" spans="1:10" ht="20" customHeight="1" x14ac:dyDescent="0.15">
      <c r="A31" s="112" t="s">
        <v>174</v>
      </c>
      <c r="B31" s="113"/>
      <c r="C31" s="114"/>
      <c r="D31" s="109" t="s">
        <v>175</v>
      </c>
      <c r="E31" s="110"/>
      <c r="F31" s="111"/>
      <c r="G31" s="112" t="s">
        <v>176</v>
      </c>
      <c r="H31" s="113"/>
      <c r="I31" s="113"/>
      <c r="J31" s="114"/>
    </row>
    <row r="32" spans="1:10" x14ac:dyDescent="0.15">
      <c r="A32" s="7"/>
      <c r="B32" s="7"/>
      <c r="C32" s="7"/>
      <c r="D32" s="7"/>
      <c r="E32" s="7"/>
      <c r="F32" s="7"/>
      <c r="G32" s="7"/>
      <c r="H32" s="7"/>
      <c r="I32" s="7"/>
      <c r="J32" s="7"/>
    </row>
    <row r="33" spans="1:10" x14ac:dyDescent="0.15">
      <c r="A33" s="7" t="s">
        <v>177</v>
      </c>
      <c r="B33" s="7"/>
      <c r="C33" s="7"/>
      <c r="D33" s="7"/>
      <c r="E33" s="7"/>
      <c r="F33" s="7"/>
      <c r="G33" s="7"/>
      <c r="H33" s="7"/>
      <c r="I33" s="7"/>
      <c r="J33" s="7"/>
    </row>
    <row r="34" spans="1:10" x14ac:dyDescent="0.15">
      <c r="A34" s="7"/>
      <c r="B34" s="7"/>
      <c r="C34" s="7"/>
      <c r="D34" s="7"/>
      <c r="E34" s="7"/>
      <c r="F34" s="7"/>
      <c r="G34" s="7"/>
      <c r="H34" s="7"/>
      <c r="I34" s="7"/>
      <c r="J34" s="7"/>
    </row>
    <row r="35" spans="1:10" x14ac:dyDescent="0.15">
      <c r="A35" s="7"/>
      <c r="B35" s="7"/>
      <c r="C35" s="7"/>
      <c r="D35" s="7"/>
      <c r="E35" s="7"/>
      <c r="F35" s="7"/>
      <c r="G35" s="7"/>
      <c r="H35" s="7"/>
      <c r="I35" s="7"/>
      <c r="J35" s="7"/>
    </row>
    <row r="36" spans="1:10" x14ac:dyDescent="0.15">
      <c r="A36" s="7"/>
      <c r="B36" s="7"/>
      <c r="C36" s="7"/>
      <c r="D36" s="7"/>
      <c r="E36" s="7"/>
      <c r="F36" s="7"/>
      <c r="G36" s="7"/>
      <c r="H36" s="7"/>
      <c r="I36" s="7"/>
      <c r="J36" s="7"/>
    </row>
    <row r="37" spans="1:10" x14ac:dyDescent="0.15">
      <c r="A37" s="7"/>
      <c r="B37" s="7"/>
      <c r="C37" s="7"/>
      <c r="D37" s="7"/>
      <c r="E37" s="7"/>
      <c r="F37" s="7"/>
      <c r="G37" s="7"/>
      <c r="H37" s="7"/>
      <c r="I37" s="7"/>
      <c r="J37" s="7"/>
    </row>
    <row r="38" spans="1:10" x14ac:dyDescent="0.15">
      <c r="A38" s="7"/>
      <c r="B38" s="7"/>
      <c r="C38" s="7"/>
      <c r="D38" s="7"/>
      <c r="E38" s="7"/>
      <c r="F38" s="7"/>
      <c r="G38" s="7"/>
      <c r="H38" s="7"/>
      <c r="I38" s="7"/>
      <c r="J38" s="7"/>
    </row>
    <row r="39" spans="1:10" x14ac:dyDescent="0.15">
      <c r="A39" s="7"/>
      <c r="B39" s="7"/>
      <c r="C39" s="7"/>
      <c r="D39" s="7"/>
      <c r="E39" s="7"/>
      <c r="F39" s="7"/>
      <c r="G39" s="7"/>
      <c r="H39" s="7"/>
      <c r="I39" s="7"/>
      <c r="J39" s="7"/>
    </row>
    <row r="40" spans="1:10" x14ac:dyDescent="0.15">
      <c r="A40" s="7"/>
      <c r="B40" s="7"/>
      <c r="C40" s="7"/>
      <c r="D40" s="7"/>
      <c r="E40" s="7"/>
      <c r="F40" s="7"/>
      <c r="G40" s="7"/>
      <c r="H40" s="7"/>
      <c r="I40" s="7"/>
      <c r="J40" s="7"/>
    </row>
    <row r="41" spans="1:10" s="7" customFormat="1" ht="11" customHeight="1" x14ac:dyDescent="0.15"/>
    <row r="42" spans="1:10" s="7" customFormat="1" ht="17" customHeight="1" x14ac:dyDescent="0.15">
      <c r="D42" s="107" t="s">
        <v>178</v>
      </c>
      <c r="E42" s="107"/>
      <c r="F42" s="107"/>
      <c r="G42" s="98"/>
      <c r="H42" s="98"/>
    </row>
    <row r="43" spans="1:10" s="7" customFormat="1" ht="14" customHeight="1" x14ac:dyDescent="0.15">
      <c r="D43" s="108" t="s">
        <v>9</v>
      </c>
      <c r="E43" s="108"/>
      <c r="F43" s="108"/>
      <c r="G43" s="104"/>
      <c r="H43" s="104"/>
    </row>
    <row r="44" spans="1:10" s="7" customFormat="1" ht="12.75" customHeight="1" thickBot="1" x14ac:dyDescent="0.2">
      <c r="A44" s="40"/>
      <c r="B44" s="40"/>
      <c r="C44" s="40"/>
      <c r="D44" s="40"/>
      <c r="E44" s="40"/>
      <c r="F44" s="40"/>
      <c r="G44" s="40"/>
      <c r="H44" s="40"/>
      <c r="I44" s="44"/>
      <c r="J44" s="45"/>
    </row>
    <row r="45" spans="1:10" s="7" customFormat="1" ht="14" customHeight="1" x14ac:dyDescent="0.15">
      <c r="A45" s="46" t="s">
        <v>10</v>
      </c>
    </row>
    <row r="46" spans="1:10" s="7" customFormat="1" ht="19.5" customHeight="1" x14ac:dyDescent="0.15">
      <c r="A46" s="106" t="s">
        <v>179</v>
      </c>
      <c r="B46" s="106"/>
      <c r="C46" s="106"/>
      <c r="D46" s="106"/>
      <c r="E46" s="106"/>
      <c r="F46" s="106"/>
      <c r="G46" s="106"/>
      <c r="H46" s="106"/>
      <c r="I46" s="106"/>
      <c r="J46" s="106"/>
    </row>
    <row r="47" spans="1:10" x14ac:dyDescent="0.15">
      <c r="A47" s="106"/>
      <c r="B47" s="106"/>
      <c r="C47" s="106"/>
      <c r="D47" s="106"/>
      <c r="E47" s="106"/>
      <c r="F47" s="106"/>
      <c r="G47" s="106"/>
      <c r="H47" s="106"/>
      <c r="I47" s="106"/>
      <c r="J47" s="106"/>
    </row>
  </sheetData>
  <mergeCells count="26">
    <mergeCell ref="A12:H12"/>
    <mergeCell ref="A14:H14"/>
    <mergeCell ref="A16:H16"/>
    <mergeCell ref="A7:I7"/>
    <mergeCell ref="A8:J8"/>
    <mergeCell ref="A26:C26"/>
    <mergeCell ref="D26:F26"/>
    <mergeCell ref="G26:J26"/>
    <mergeCell ref="A27:C27"/>
    <mergeCell ref="D27:F27"/>
    <mergeCell ref="G27:J27"/>
    <mergeCell ref="A46:J47"/>
    <mergeCell ref="D42:F42"/>
    <mergeCell ref="D43:F43"/>
    <mergeCell ref="A28:C28"/>
    <mergeCell ref="D28:F28"/>
    <mergeCell ref="G28:J28"/>
    <mergeCell ref="A29:C29"/>
    <mergeCell ref="D29:F29"/>
    <mergeCell ref="G29:J29"/>
    <mergeCell ref="A30:C30"/>
    <mergeCell ref="D30:F30"/>
    <mergeCell ref="G30:J30"/>
    <mergeCell ref="A31:C31"/>
    <mergeCell ref="D31:F31"/>
    <mergeCell ref="G31:J31"/>
  </mergeCells>
  <hyperlinks>
    <hyperlink ref="D43" r:id="rId1" xr:uid="{00000000-0004-0000-0000-000000000000}"/>
    <hyperlink ref="D30:F30" location="'Sweet Corn'!A1" display="Sweet Corn" xr:uid="{00000000-0004-0000-0000-000001000000}"/>
    <hyperlink ref="D27:F27" location="Cucumbers!A1" display="Cucumber" xr:uid="{00000000-0004-0000-0000-000002000000}"/>
    <hyperlink ref="D26:F26" location="Broccoli!A1" display="Broccoli" xr:uid="{00000000-0004-0000-0000-000003000000}"/>
    <hyperlink ref="A26:C26" location="Beans!A1" display="Beans" xr:uid="{00000000-0004-0000-0000-000004000000}"/>
    <hyperlink ref="G31:H31" location="'Seeded Watermelon'!A1" display="Watermelon, seeded" xr:uid="{00000000-0004-0000-0000-000005000000}"/>
    <hyperlink ref="D31:E31" location="'Seedless Watermelon'!A1" display="Watermelon, seedless" xr:uid="{00000000-0004-0000-0000-000006000000}"/>
    <hyperlink ref="A31:B31" location="Tomato!A1" display="Tomato" xr:uid="{00000000-0004-0000-0000-000007000000}"/>
    <hyperlink ref="G30:H30" location="'Sweet Potato'!A1" display="Sweet Potato" xr:uid="{00000000-0004-0000-0000-000008000000}"/>
    <hyperlink ref="E30:F30" location="'Sweet Corn'!A1" display="Sweet Corn" xr:uid="{00000000-0004-0000-0000-000009000000}"/>
    <hyperlink ref="A30:B30" location="'Summer Squash'!A1" display="Squash, Summer" xr:uid="{00000000-0004-0000-0000-00000A000000}"/>
    <hyperlink ref="D29:E29" location="Pumpkin!A1" display="Pumpkin" xr:uid="{00000000-0004-0000-0000-00000B000000}"/>
    <hyperlink ref="A29:B29" location="Potatoes!A1" display="Potatoes" xr:uid="{00000000-0004-0000-0000-00000C000000}"/>
    <hyperlink ref="G28:I28" location="'Jalepeno Pepper'!A1" display="Peppers, Jalapeño" xr:uid="{00000000-0004-0000-0000-00000D000000}"/>
    <hyperlink ref="D28:E28" location="'Bell Pepper'!A1" display="Peppers, Bell" xr:uid="{00000000-0004-0000-0000-00000E000000}"/>
    <hyperlink ref="A28:B28" location="Okra!A1" display="Okra" xr:uid="{00000000-0004-0000-0000-00000F000000}"/>
    <hyperlink ref="G27:H27" location="Eggplant!A1" display="Eggplant" xr:uid="{00000000-0004-0000-0000-000010000000}"/>
    <hyperlink ref="D27:E27" location="Okra!A1" display="Okra" xr:uid="{00000000-0004-0000-0000-000011000000}"/>
    <hyperlink ref="A27:C27" location="Cantaloupe!A1" display="Cantaloupe" xr:uid="{00000000-0004-0000-0000-000012000000}"/>
    <hyperlink ref="G26:H26" location="Cabbage!A1" display="Cabbage" xr:uid="{00000000-0004-0000-0000-000013000000}"/>
    <hyperlink ref="D26:E26" location="Broccoli!A1" display="Broccoli" xr:uid="{00000000-0004-0000-0000-000014000000}"/>
    <hyperlink ref="A26:B26" location="Bean!A1" display="Beans" xr:uid="{00000000-0004-0000-0000-000015000000}"/>
    <hyperlink ref="D27" location="Cucumbers!A1" display="Cucumber" xr:uid="{00000000-0004-0000-0000-000016000000}"/>
    <hyperlink ref="E27" location="Cucumbers!A1" display="Cucumbers!A1" xr:uid="{00000000-0004-0000-0000-000017000000}"/>
    <hyperlink ref="F27" location="Cucumbers!A1" display="Cucumbers!A1" xr:uid="{00000000-0004-0000-0000-000018000000}"/>
    <hyperlink ref="G28" location="'Jalapeno Pepper'!A1" display="Peppers, Jalapeño" xr:uid="{00000000-0004-0000-0000-000019000000}"/>
    <hyperlink ref="H28" location="'Jalapeno Pepper'!A1" display="'Jalapeno Pepper'!A1" xr:uid="{00000000-0004-0000-0000-00001A000000}"/>
    <hyperlink ref="I28" location="'Jalapeno Pepper'!A1" display="'Jalapeno Pepper'!A1" xr:uid="{00000000-0004-0000-0000-00001B000000}"/>
    <hyperlink ref="J28" location="'Jalapeno Pepper'!A1" display="'Jalapeno Pepper'!A1" xr:uid="{00000000-0004-0000-0000-00001C000000}"/>
    <hyperlink ref="A26" location="Bean!A1" display="Beans" xr:uid="{00000000-0004-0000-0000-00001D000000}"/>
    <hyperlink ref="B26" location="Bean!A1" display="Bean!A1" xr:uid="{00000000-0004-0000-0000-00001E000000}"/>
    <hyperlink ref="C26" location="Bean!A1" display="Bean!A1" xr:uid="{00000000-0004-0000-0000-00001F000000}"/>
    <hyperlink ref="G29:J29" location="'Winter Squash'!A1" display="Squash, Winter" xr:uid="{00000000-0004-0000-0000-000020000000}"/>
  </hyperlinks>
  <pageMargins left="0.7" right="0.7" top="0.75" bottom="0.75" header="0.3" footer="0.3"/>
  <pageSetup orientation="portrait" horizontalDpi="4294967292" verticalDpi="4294967292"/>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L71"/>
  <sheetViews>
    <sheetView zoomScaleNormal="100" workbookViewId="0">
      <selection activeCell="F36" sqref="F36"/>
    </sheetView>
  </sheetViews>
  <sheetFormatPr baseColWidth="10" defaultColWidth="8.83203125" defaultRowHeight="13" x14ac:dyDescent="0.15"/>
  <cols>
    <col min="1" max="1" width="32" customWidth="1"/>
    <col min="2" max="2" width="7" customWidth="1"/>
    <col min="3" max="3" width="6.33203125" customWidth="1"/>
    <col min="4" max="4" width="8.1640625" bestFit="1" customWidth="1"/>
    <col min="5" max="5" width="9.1640625" bestFit="1" customWidth="1"/>
    <col min="6" max="6" width="3.1640625" customWidth="1"/>
  </cols>
  <sheetData>
    <row r="1" spans="1:12" ht="16" x14ac:dyDescent="0.2">
      <c r="A1" s="76" t="s">
        <v>129</v>
      </c>
    </row>
    <row r="2" spans="1:12" x14ac:dyDescent="0.15">
      <c r="A2" s="2" t="s">
        <v>255</v>
      </c>
      <c r="G2" s="2"/>
      <c r="K2" s="3"/>
      <c r="L2" s="2"/>
    </row>
    <row r="3" spans="1:12" s="7" customFormat="1" x14ac:dyDescent="0.15">
      <c r="A3" s="6" t="s">
        <v>180</v>
      </c>
    </row>
    <row r="4" spans="1:12" x14ac:dyDescent="0.15">
      <c r="A4" s="59" t="s">
        <v>249</v>
      </c>
    </row>
    <row r="5" spans="1:12" x14ac:dyDescent="0.15">
      <c r="A5" s="59" t="s">
        <v>250</v>
      </c>
    </row>
    <row r="6" spans="1:12" ht="18.75" customHeight="1" x14ac:dyDescent="0.15">
      <c r="B6" s="105" t="s">
        <v>12</v>
      </c>
      <c r="C6" s="105" t="s">
        <v>13</v>
      </c>
      <c r="D6" s="105" t="s">
        <v>14</v>
      </c>
      <c r="E6" s="105" t="s">
        <v>15</v>
      </c>
    </row>
    <row r="7" spans="1:12" x14ac:dyDescent="0.15">
      <c r="A7" s="2" t="s">
        <v>16</v>
      </c>
      <c r="B7" s="87"/>
      <c r="C7" s="87"/>
      <c r="D7" s="87"/>
      <c r="E7" s="87"/>
    </row>
    <row r="8" spans="1:12" x14ac:dyDescent="0.15">
      <c r="A8" t="s">
        <v>130</v>
      </c>
      <c r="B8" s="92">
        <v>45</v>
      </c>
      <c r="C8" s="87" t="s">
        <v>40</v>
      </c>
      <c r="D8" s="90">
        <v>12</v>
      </c>
      <c r="E8" s="90">
        <f>B8*D8</f>
        <v>540</v>
      </c>
      <c r="F8" s="18" t="s">
        <v>77</v>
      </c>
    </row>
    <row r="9" spans="1:12" x14ac:dyDescent="0.15">
      <c r="A9" s="2"/>
      <c r="B9" s="87"/>
      <c r="C9" s="87"/>
      <c r="D9" s="87"/>
      <c r="E9" s="90">
        <f>B9*D9</f>
        <v>0</v>
      </c>
    </row>
    <row r="10" spans="1:12" x14ac:dyDescent="0.15">
      <c r="A10" t="s">
        <v>61</v>
      </c>
      <c r="E10" s="102">
        <f>SUM(E8:E9)</f>
        <v>540</v>
      </c>
      <c r="H10" s="3"/>
    </row>
    <row r="12" spans="1:12" ht="14" customHeight="1" x14ac:dyDescent="0.15">
      <c r="A12" s="61"/>
      <c r="B12" s="61"/>
      <c r="C12" s="61"/>
      <c r="D12" s="61"/>
      <c r="E12" s="61"/>
    </row>
    <row r="13" spans="1:12" ht="15" customHeight="1" x14ac:dyDescent="0.15">
      <c r="A13" s="2" t="s">
        <v>20</v>
      </c>
    </row>
    <row r="14" spans="1:12" x14ac:dyDescent="0.15">
      <c r="A14" t="s">
        <v>21</v>
      </c>
    </row>
    <row r="15" spans="1:12" x14ac:dyDescent="0.15">
      <c r="A15" t="s">
        <v>119</v>
      </c>
      <c r="B15">
        <v>200</v>
      </c>
      <c r="C15" s="34" t="s">
        <v>63</v>
      </c>
      <c r="D15" s="17">
        <v>0.35</v>
      </c>
      <c r="E15" s="17">
        <f t="shared" ref="E15:E25" si="0">B15*D15</f>
        <v>70</v>
      </c>
      <c r="H15" s="3"/>
    </row>
    <row r="16" spans="1:12" x14ac:dyDescent="0.15">
      <c r="A16" t="s">
        <v>120</v>
      </c>
      <c r="B16">
        <v>1</v>
      </c>
      <c r="C16" t="s">
        <v>71</v>
      </c>
      <c r="D16" s="17">
        <f>Hired_Labor</f>
        <v>16.5</v>
      </c>
      <c r="E16" s="17">
        <f t="shared" si="0"/>
        <v>16.5</v>
      </c>
      <c r="H16" s="3"/>
    </row>
    <row r="17" spans="1:8" x14ac:dyDescent="0.15">
      <c r="A17" s="3" t="s">
        <v>121</v>
      </c>
      <c r="B17">
        <v>2</v>
      </c>
      <c r="C17" s="3" t="s">
        <v>23</v>
      </c>
      <c r="D17" s="17">
        <v>0.4</v>
      </c>
      <c r="E17" s="17">
        <f t="shared" si="0"/>
        <v>0.8</v>
      </c>
    </row>
    <row r="18" spans="1:8" x14ac:dyDescent="0.15">
      <c r="A18" s="3" t="s">
        <v>122</v>
      </c>
      <c r="B18" s="29">
        <f>B15/1600</f>
        <v>0.125</v>
      </c>
      <c r="C18" s="3" t="s">
        <v>23</v>
      </c>
      <c r="D18" s="17">
        <v>3.5</v>
      </c>
      <c r="E18" s="17">
        <f t="shared" si="0"/>
        <v>0.4375</v>
      </c>
      <c r="H18" s="3"/>
    </row>
    <row r="19" spans="1:8" x14ac:dyDescent="0.15">
      <c r="A19" s="3" t="s">
        <v>123</v>
      </c>
      <c r="B19">
        <f>4*B15/1000*10</f>
        <v>8</v>
      </c>
      <c r="C19" s="3" t="s">
        <v>23</v>
      </c>
      <c r="D19" s="17">
        <v>0.65</v>
      </c>
      <c r="E19" s="17">
        <f t="shared" si="0"/>
        <v>5.2</v>
      </c>
      <c r="F19" t="s">
        <v>131</v>
      </c>
      <c r="H19" s="3"/>
    </row>
    <row r="20" spans="1:8" x14ac:dyDescent="0.15">
      <c r="A20" s="3" t="s">
        <v>99</v>
      </c>
      <c r="B20">
        <v>100</v>
      </c>
      <c r="C20" t="s">
        <v>59</v>
      </c>
      <c r="D20" s="17">
        <v>0.1</v>
      </c>
      <c r="E20" s="17">
        <f t="shared" si="0"/>
        <v>10</v>
      </c>
      <c r="F20" s="18" t="s">
        <v>32</v>
      </c>
      <c r="H20" s="3"/>
    </row>
    <row r="21" spans="1:8" x14ac:dyDescent="0.15">
      <c r="A21" s="3" t="s">
        <v>31</v>
      </c>
      <c r="B21">
        <v>1</v>
      </c>
      <c r="C21" t="s">
        <v>30</v>
      </c>
      <c r="D21" s="17">
        <f>Operator_Labor*2+0.65</f>
        <v>33.65</v>
      </c>
      <c r="E21" s="17">
        <f t="shared" si="0"/>
        <v>33.65</v>
      </c>
      <c r="F21" s="18" t="s">
        <v>36</v>
      </c>
      <c r="H21" s="3"/>
    </row>
    <row r="22" spans="1:8" x14ac:dyDescent="0.15">
      <c r="A22" t="s">
        <v>33</v>
      </c>
      <c r="B22">
        <v>1</v>
      </c>
      <c r="C22" s="3" t="s">
        <v>30</v>
      </c>
      <c r="D22" s="17">
        <f>Operator_Labor*0.5+1.6</f>
        <v>9.85</v>
      </c>
      <c r="E22" s="17">
        <f t="shared" si="0"/>
        <v>9.85</v>
      </c>
      <c r="F22" s="18" t="s">
        <v>36</v>
      </c>
      <c r="H22" s="3"/>
    </row>
    <row r="23" spans="1:8" x14ac:dyDescent="0.15">
      <c r="A23" t="s">
        <v>34</v>
      </c>
      <c r="B23">
        <v>1</v>
      </c>
      <c r="C23" s="3" t="s">
        <v>30</v>
      </c>
      <c r="D23" s="17">
        <f>Operator_Labor*0.5+9.9</f>
        <v>18.149999999999999</v>
      </c>
      <c r="E23" s="17">
        <f t="shared" si="0"/>
        <v>18.149999999999999</v>
      </c>
      <c r="F23" s="18" t="s">
        <v>36</v>
      </c>
      <c r="H23" s="3"/>
    </row>
    <row r="24" spans="1:8" x14ac:dyDescent="0.15">
      <c r="A24" t="s">
        <v>69</v>
      </c>
      <c r="B24">
        <v>2</v>
      </c>
      <c r="C24" t="s">
        <v>55</v>
      </c>
      <c r="D24" s="17">
        <v>0.65</v>
      </c>
      <c r="E24" s="17">
        <f t="shared" si="0"/>
        <v>1.3</v>
      </c>
      <c r="F24" s="18" t="s">
        <v>28</v>
      </c>
      <c r="H24" s="3"/>
    </row>
    <row r="25" spans="1:8" x14ac:dyDescent="0.15">
      <c r="A25" t="s">
        <v>35</v>
      </c>
      <c r="B25" s="62">
        <v>1</v>
      </c>
      <c r="C25" s="62" t="s">
        <v>30</v>
      </c>
      <c r="D25" s="63">
        <v>6.24</v>
      </c>
      <c r="E25" s="63">
        <f t="shared" si="0"/>
        <v>6.24</v>
      </c>
      <c r="F25" s="18" t="s">
        <v>72</v>
      </c>
      <c r="H25" s="3"/>
    </row>
    <row r="26" spans="1:8" x14ac:dyDescent="0.15">
      <c r="A26" s="2" t="s">
        <v>37</v>
      </c>
      <c r="E26" s="19">
        <f>SUM(E15:E25)</f>
        <v>172.12750000000003</v>
      </c>
    </row>
    <row r="28" spans="1:8" x14ac:dyDescent="0.15">
      <c r="A28" s="61"/>
      <c r="B28" s="61"/>
      <c r="C28" s="61"/>
      <c r="D28" s="61"/>
      <c r="E28" s="61"/>
    </row>
    <row r="29" spans="1:8" ht="15" customHeight="1" x14ac:dyDescent="0.15">
      <c r="A29" s="2" t="s">
        <v>38</v>
      </c>
    </row>
    <row r="30" spans="1:8" x14ac:dyDescent="0.15">
      <c r="A30" t="s">
        <v>295</v>
      </c>
      <c r="B30">
        <f>B8</f>
        <v>45</v>
      </c>
      <c r="C30" t="s">
        <v>40</v>
      </c>
      <c r="D30" s="17">
        <v>1.25</v>
      </c>
      <c r="E30" s="17">
        <f>B30*D30</f>
        <v>56.25</v>
      </c>
      <c r="H30" s="3"/>
    </row>
    <row r="31" spans="1:8" x14ac:dyDescent="0.15">
      <c r="A31" t="s">
        <v>302</v>
      </c>
      <c r="B31">
        <v>3</v>
      </c>
      <c r="C31" t="s">
        <v>124</v>
      </c>
      <c r="D31" s="17">
        <v>20</v>
      </c>
      <c r="E31" s="17">
        <f>B31*D31</f>
        <v>60</v>
      </c>
      <c r="H31" s="3"/>
    </row>
    <row r="32" spans="1:8" x14ac:dyDescent="0.15">
      <c r="A32" s="3" t="s">
        <v>303</v>
      </c>
      <c r="B32">
        <v>0.5</v>
      </c>
      <c r="C32" t="s">
        <v>71</v>
      </c>
      <c r="D32" s="17">
        <f>Hired_Labor</f>
        <v>16.5</v>
      </c>
      <c r="E32" s="17">
        <f>B32*D32</f>
        <v>8.25</v>
      </c>
      <c r="H32" s="3"/>
    </row>
    <row r="33" spans="1:8" x14ac:dyDescent="0.15">
      <c r="A33" s="3" t="s">
        <v>304</v>
      </c>
      <c r="D33" s="17"/>
    </row>
    <row r="34" spans="1:8" x14ac:dyDescent="0.15">
      <c r="A34" t="s">
        <v>308</v>
      </c>
      <c r="B34" s="17">
        <v>1.65</v>
      </c>
      <c r="C34" t="s">
        <v>101</v>
      </c>
      <c r="D34" s="17"/>
      <c r="E34" s="17">
        <f>B8*B34</f>
        <v>74.25</v>
      </c>
      <c r="F34" s="18" t="s">
        <v>98</v>
      </c>
      <c r="H34" s="3"/>
    </row>
    <row r="35" spans="1:8" x14ac:dyDescent="0.15">
      <c r="A35" t="s">
        <v>306</v>
      </c>
      <c r="B35" s="23">
        <f>Marketing_Pct</f>
        <v>0.1</v>
      </c>
      <c r="C35" t="s">
        <v>41</v>
      </c>
      <c r="D35" s="17"/>
      <c r="E35" s="17">
        <f>B35*E8</f>
        <v>54</v>
      </c>
    </row>
    <row r="36" spans="1:8" x14ac:dyDescent="0.15">
      <c r="A36" t="s">
        <v>307</v>
      </c>
      <c r="B36" s="64">
        <v>1</v>
      </c>
      <c r="C36" s="65" t="s">
        <v>30</v>
      </c>
      <c r="D36" s="63">
        <v>0</v>
      </c>
      <c r="E36" s="63">
        <f>B36*D36</f>
        <v>0</v>
      </c>
      <c r="F36" s="18"/>
    </row>
    <row r="37" spans="1:8" x14ac:dyDescent="0.15">
      <c r="A37" s="2" t="s">
        <v>42</v>
      </c>
      <c r="E37" s="19">
        <f>SUM(E30:E36)</f>
        <v>252.75</v>
      </c>
    </row>
    <row r="39" spans="1:8" x14ac:dyDescent="0.15">
      <c r="A39" t="s">
        <v>43</v>
      </c>
      <c r="E39" s="24">
        <f>(Interest_Pct*0.5*E26)+(Interest_Pct*0.25*E37)</f>
        <v>8.9550750000000008</v>
      </c>
    </row>
    <row r="41" spans="1:8" x14ac:dyDescent="0.15">
      <c r="A41" s="2" t="s">
        <v>44</v>
      </c>
      <c r="B41" s="2"/>
      <c r="C41" s="2"/>
      <c r="D41" s="2"/>
      <c r="E41" s="19">
        <f>SUM(E26+E37+E39)</f>
        <v>433.83257500000008</v>
      </c>
    </row>
    <row r="43" spans="1:8" x14ac:dyDescent="0.15">
      <c r="A43" s="66" t="s">
        <v>45</v>
      </c>
      <c r="B43" s="67"/>
      <c r="C43" s="67"/>
      <c r="D43" s="67"/>
      <c r="E43" s="68">
        <f>E10-E41</f>
        <v>106.16742499999992</v>
      </c>
    </row>
    <row r="45" spans="1:8" x14ac:dyDescent="0.15">
      <c r="A45" s="61"/>
      <c r="B45" s="61"/>
      <c r="C45" s="61"/>
      <c r="D45" s="61"/>
      <c r="E45" s="61"/>
    </row>
    <row r="46" spans="1:8" ht="15" customHeight="1" x14ac:dyDescent="0.15">
      <c r="A46" s="2" t="s">
        <v>46</v>
      </c>
    </row>
    <row r="47" spans="1:8" x14ac:dyDescent="0.15">
      <c r="A47" t="s">
        <v>47</v>
      </c>
      <c r="E47" s="17">
        <v>11.493000000000002</v>
      </c>
      <c r="F47" s="18" t="s">
        <v>72</v>
      </c>
    </row>
    <row r="48" spans="1:8" x14ac:dyDescent="0.15">
      <c r="A48" t="s">
        <v>126</v>
      </c>
      <c r="E48" s="17">
        <v>20</v>
      </c>
      <c r="F48" s="18"/>
    </row>
    <row r="49" spans="1:8" x14ac:dyDescent="0.15">
      <c r="A49" t="s">
        <v>127</v>
      </c>
      <c r="E49" s="17">
        <v>7.8572000000000006</v>
      </c>
      <c r="H49" s="3"/>
    </row>
    <row r="50" spans="1:8" x14ac:dyDescent="0.15">
      <c r="A50" t="s">
        <v>49</v>
      </c>
      <c r="E50" s="17">
        <v>1</v>
      </c>
    </row>
    <row r="51" spans="1:8" x14ac:dyDescent="0.15">
      <c r="A51" t="s">
        <v>50</v>
      </c>
      <c r="B51" s="62"/>
      <c r="C51" s="62"/>
      <c r="D51" s="62"/>
      <c r="E51" s="63">
        <f>0.005*E8</f>
        <v>2.7</v>
      </c>
    </row>
    <row r="53" spans="1:8" x14ac:dyDescent="0.15">
      <c r="A53" s="2" t="s">
        <v>51</v>
      </c>
      <c r="E53" s="25">
        <f>SUM(E47:E52)</f>
        <v>43.050200000000004</v>
      </c>
    </row>
    <row r="55" spans="1:8" x14ac:dyDescent="0.15">
      <c r="A55" s="2" t="s">
        <v>52</v>
      </c>
      <c r="E55" s="19">
        <f>E41+E53</f>
        <v>476.88277500000009</v>
      </c>
    </row>
    <row r="57" spans="1:8" x14ac:dyDescent="0.15">
      <c r="A57" s="67" t="s">
        <v>53</v>
      </c>
      <c r="B57" s="67"/>
      <c r="C57" s="67"/>
      <c r="D57" s="67"/>
      <c r="E57" s="70">
        <f>E10-E55</f>
        <v>63.117224999999905</v>
      </c>
    </row>
    <row r="59" spans="1:8" x14ac:dyDescent="0.15">
      <c r="A59" t="s">
        <v>54</v>
      </c>
      <c r="B59">
        <v>2</v>
      </c>
      <c r="C59" t="s">
        <v>55</v>
      </c>
      <c r="D59" s="17">
        <f>Operator_Labor</f>
        <v>16.5</v>
      </c>
      <c r="E59" s="17">
        <f>B59*D59</f>
        <v>33</v>
      </c>
    </row>
    <row r="60" spans="1:8" ht="14" thickBot="1" x14ac:dyDescent="0.2">
      <c r="A60" s="1"/>
      <c r="B60" s="1"/>
      <c r="C60" s="1"/>
      <c r="D60" s="1"/>
      <c r="E60" s="1"/>
    </row>
    <row r="61" spans="1:8" ht="14" thickBot="1" x14ac:dyDescent="0.2">
      <c r="A61" s="71" t="s">
        <v>56</v>
      </c>
      <c r="B61" s="1"/>
      <c r="C61" s="1"/>
      <c r="D61" s="1"/>
      <c r="E61" s="72">
        <f>E57-E59</f>
        <v>30.117224999999905</v>
      </c>
    </row>
    <row r="63" spans="1:8" hidden="1" x14ac:dyDescent="0.15"/>
    <row r="64" spans="1:8" x14ac:dyDescent="0.15">
      <c r="A64" s="18" t="s">
        <v>128</v>
      </c>
    </row>
    <row r="65" spans="1:1" x14ac:dyDescent="0.15">
      <c r="A65" s="18" t="s">
        <v>270</v>
      </c>
    </row>
    <row r="66" spans="1:1" x14ac:dyDescent="0.15">
      <c r="A66" s="18" t="s">
        <v>132</v>
      </c>
    </row>
    <row r="67" spans="1:1" x14ac:dyDescent="0.15">
      <c r="A67" s="18" t="s">
        <v>327</v>
      </c>
    </row>
    <row r="68" spans="1:1" x14ac:dyDescent="0.15">
      <c r="A68" s="18" t="s">
        <v>271</v>
      </c>
    </row>
    <row r="69" spans="1:1" x14ac:dyDescent="0.15">
      <c r="A69" s="18" t="s">
        <v>272</v>
      </c>
    </row>
    <row r="70" spans="1:1" x14ac:dyDescent="0.15">
      <c r="A70" s="18" t="s">
        <v>216</v>
      </c>
    </row>
    <row r="71" spans="1:1" x14ac:dyDescent="0.15">
      <c r="A71" s="18" t="s">
        <v>217</v>
      </c>
    </row>
  </sheetData>
  <pageMargins left="0.75" right="0.75" top="1" bottom="1" header="0.5" footer="0.5"/>
  <pageSetup scale="74"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G62"/>
  <sheetViews>
    <sheetView zoomScaleNormal="100" workbookViewId="0">
      <selection activeCell="A34" sqref="A34"/>
    </sheetView>
  </sheetViews>
  <sheetFormatPr baseColWidth="10" defaultColWidth="8.83203125" defaultRowHeight="13" x14ac:dyDescent="0.15"/>
  <cols>
    <col min="1" max="1" width="30" customWidth="1"/>
    <col min="2" max="2" width="8" bestFit="1" customWidth="1"/>
    <col min="3" max="3" width="5.5" bestFit="1" customWidth="1"/>
    <col min="4" max="4" width="8" bestFit="1" customWidth="1"/>
    <col min="5" max="5" width="10.6640625" bestFit="1" customWidth="1"/>
    <col min="6" max="6" width="3.5" customWidth="1"/>
  </cols>
  <sheetData>
    <row r="1" spans="1:7" ht="16" x14ac:dyDescent="0.2">
      <c r="A1" s="76" t="s">
        <v>133</v>
      </c>
    </row>
    <row r="2" spans="1:7" x14ac:dyDescent="0.15">
      <c r="A2" s="2" t="s">
        <v>255</v>
      </c>
    </row>
    <row r="3" spans="1:7" x14ac:dyDescent="0.15">
      <c r="A3" s="2" t="s">
        <v>199</v>
      </c>
    </row>
    <row r="4" spans="1:7" x14ac:dyDescent="0.15">
      <c r="A4" s="59" t="s">
        <v>251</v>
      </c>
    </row>
    <row r="5" spans="1:7" x14ac:dyDescent="0.15">
      <c r="A5" s="59" t="s">
        <v>252</v>
      </c>
    </row>
    <row r="6" spans="1:7" ht="18.75" customHeight="1" x14ac:dyDescent="0.15">
      <c r="B6" s="87" t="s">
        <v>12</v>
      </c>
      <c r="C6" s="87" t="s">
        <v>13</v>
      </c>
      <c r="D6" s="87" t="s">
        <v>14</v>
      </c>
      <c r="E6" s="87" t="s">
        <v>15</v>
      </c>
    </row>
    <row r="7" spans="1:7" x14ac:dyDescent="0.15">
      <c r="A7" s="2" t="s">
        <v>16</v>
      </c>
      <c r="B7" s="87"/>
      <c r="C7" s="87"/>
      <c r="D7" s="87"/>
      <c r="E7" s="87"/>
    </row>
    <row r="8" spans="1:7" x14ac:dyDescent="0.15">
      <c r="A8" t="s">
        <v>134</v>
      </c>
      <c r="B8" s="92">
        <v>2500</v>
      </c>
      <c r="C8" s="92" t="s">
        <v>23</v>
      </c>
      <c r="D8" s="93">
        <v>1</v>
      </c>
      <c r="E8" s="103">
        <f>B8*D8</f>
        <v>2500</v>
      </c>
      <c r="F8" s="18" t="s">
        <v>77</v>
      </c>
    </row>
    <row r="9" spans="1:7" x14ac:dyDescent="0.15">
      <c r="A9" s="2"/>
      <c r="B9" s="87"/>
      <c r="C9" s="87"/>
      <c r="D9" s="87"/>
      <c r="E9" s="103">
        <f>B9*D9</f>
        <v>0</v>
      </c>
    </row>
    <row r="10" spans="1:7" x14ac:dyDescent="0.15">
      <c r="E10" s="90">
        <f>SUM(E8:E9)</f>
        <v>2500</v>
      </c>
      <c r="G10" s="3"/>
    </row>
    <row r="12" spans="1:7" x14ac:dyDescent="0.15">
      <c r="A12" s="61"/>
      <c r="B12" s="61"/>
      <c r="C12" s="61"/>
      <c r="D12" s="61"/>
      <c r="E12" s="61"/>
    </row>
    <row r="13" spans="1:7" ht="15" customHeight="1" x14ac:dyDescent="0.15">
      <c r="A13" s="2" t="s">
        <v>20</v>
      </c>
    </row>
    <row r="14" spans="1:7" x14ac:dyDescent="0.15">
      <c r="A14" t="s">
        <v>21</v>
      </c>
    </row>
    <row r="15" spans="1:7" x14ac:dyDescent="0.15">
      <c r="A15" t="s">
        <v>135</v>
      </c>
      <c r="B15">
        <v>0.05</v>
      </c>
      <c r="C15" t="s">
        <v>136</v>
      </c>
      <c r="D15" s="17">
        <v>20</v>
      </c>
      <c r="E15" s="17">
        <f t="shared" ref="E15:E20" si="0">B15*D15</f>
        <v>1</v>
      </c>
    </row>
    <row r="16" spans="1:7" x14ac:dyDescent="0.15">
      <c r="A16" t="s">
        <v>137</v>
      </c>
      <c r="B16">
        <v>1</v>
      </c>
      <c r="C16" t="s">
        <v>104</v>
      </c>
      <c r="D16" s="17">
        <v>35</v>
      </c>
      <c r="E16" s="17">
        <f t="shared" si="0"/>
        <v>35</v>
      </c>
    </row>
    <row r="17" spans="1:6" x14ac:dyDescent="0.15">
      <c r="A17" t="s">
        <v>138</v>
      </c>
      <c r="B17">
        <v>15</v>
      </c>
      <c r="C17" t="s">
        <v>23</v>
      </c>
      <c r="D17" s="17">
        <v>0.4</v>
      </c>
      <c r="E17" s="17">
        <f t="shared" si="0"/>
        <v>6</v>
      </c>
    </row>
    <row r="18" spans="1:6" x14ac:dyDescent="0.15">
      <c r="A18" t="s">
        <v>25</v>
      </c>
      <c r="B18">
        <v>1.5</v>
      </c>
      <c r="C18" t="s">
        <v>104</v>
      </c>
      <c r="D18" s="17">
        <v>20</v>
      </c>
      <c r="E18" s="17">
        <f t="shared" si="0"/>
        <v>30</v>
      </c>
    </row>
    <row r="19" spans="1:6" x14ac:dyDescent="0.15">
      <c r="A19" t="s">
        <v>139</v>
      </c>
      <c r="B19">
        <v>1.5</v>
      </c>
      <c r="C19" t="s">
        <v>104</v>
      </c>
      <c r="D19" s="17">
        <v>4</v>
      </c>
      <c r="E19" s="17">
        <f t="shared" si="0"/>
        <v>6</v>
      </c>
    </row>
    <row r="20" spans="1:6" x14ac:dyDescent="0.15">
      <c r="A20" t="s">
        <v>31</v>
      </c>
      <c r="B20">
        <v>1</v>
      </c>
      <c r="C20" t="s">
        <v>90</v>
      </c>
      <c r="D20">
        <f>Hired_Labor+2.83</f>
        <v>19.329999999999998</v>
      </c>
      <c r="E20" s="17">
        <f t="shared" si="0"/>
        <v>19.329999999999998</v>
      </c>
      <c r="F20" s="18" t="s">
        <v>28</v>
      </c>
    </row>
    <row r="21" spans="1:6" x14ac:dyDescent="0.15">
      <c r="A21" t="s">
        <v>33</v>
      </c>
      <c r="B21">
        <v>1</v>
      </c>
      <c r="C21" t="s">
        <v>90</v>
      </c>
      <c r="D21">
        <f>Operator_Labor+10.97</f>
        <v>27.47</v>
      </c>
      <c r="E21" s="17">
        <f>B21*D21</f>
        <v>27.47</v>
      </c>
      <c r="F21" s="18" t="s">
        <v>28</v>
      </c>
    </row>
    <row r="22" spans="1:6" x14ac:dyDescent="0.15">
      <c r="A22" t="s">
        <v>34</v>
      </c>
      <c r="B22">
        <v>1</v>
      </c>
      <c r="C22" t="s">
        <v>90</v>
      </c>
      <c r="D22">
        <f>Operator_Labor+6.94</f>
        <v>23.44</v>
      </c>
      <c r="E22" s="17">
        <f>B22*D22</f>
        <v>23.44</v>
      </c>
      <c r="F22" s="18" t="s">
        <v>28</v>
      </c>
    </row>
    <row r="23" spans="1:6" x14ac:dyDescent="0.15">
      <c r="A23" t="s">
        <v>69</v>
      </c>
      <c r="B23">
        <v>0</v>
      </c>
      <c r="C23" t="s">
        <v>39</v>
      </c>
      <c r="D23" s="17"/>
      <c r="E23" s="17">
        <f>B23*D23</f>
        <v>0</v>
      </c>
      <c r="F23" s="18"/>
    </row>
    <row r="24" spans="1:6" x14ac:dyDescent="0.15">
      <c r="A24" t="s">
        <v>35</v>
      </c>
      <c r="B24" s="62">
        <v>1</v>
      </c>
      <c r="C24" s="62" t="s">
        <v>90</v>
      </c>
      <c r="D24" s="63">
        <v>14.39</v>
      </c>
      <c r="E24" s="63">
        <f>B24*D24</f>
        <v>14.39</v>
      </c>
      <c r="F24" s="18" t="s">
        <v>32</v>
      </c>
    </row>
    <row r="25" spans="1:6" x14ac:dyDescent="0.15">
      <c r="A25" s="2" t="s">
        <v>37</v>
      </c>
      <c r="E25" s="19">
        <f>SUM(E15:E24)</f>
        <v>162.63</v>
      </c>
    </row>
    <row r="27" spans="1:6" x14ac:dyDescent="0.15">
      <c r="A27" s="61"/>
      <c r="B27" s="61"/>
      <c r="C27" s="61"/>
      <c r="D27" s="61"/>
      <c r="E27" s="61"/>
    </row>
    <row r="28" spans="1:6" ht="15" customHeight="1" x14ac:dyDescent="0.15">
      <c r="A28" s="2" t="s">
        <v>38</v>
      </c>
    </row>
    <row r="29" spans="1:6" x14ac:dyDescent="0.15">
      <c r="A29" t="s">
        <v>309</v>
      </c>
      <c r="E29" s="17">
        <v>19.079999999999998</v>
      </c>
      <c r="F29" s="3" t="s">
        <v>32</v>
      </c>
    </row>
    <row r="30" spans="1:6" x14ac:dyDescent="0.15">
      <c r="A30" t="s">
        <v>310</v>
      </c>
      <c r="B30" s="12">
        <v>60</v>
      </c>
      <c r="C30" t="s">
        <v>140</v>
      </c>
      <c r="D30" s="17">
        <v>0.2</v>
      </c>
      <c r="E30" s="17">
        <f>B30*D30</f>
        <v>12</v>
      </c>
      <c r="F30" s="18"/>
    </row>
    <row r="31" spans="1:6" x14ac:dyDescent="0.15">
      <c r="A31" t="s">
        <v>311</v>
      </c>
      <c r="B31" s="12">
        <v>10</v>
      </c>
      <c r="C31" t="s">
        <v>39</v>
      </c>
      <c r="D31" s="17">
        <f>Hired_Labor</f>
        <v>16.5</v>
      </c>
      <c r="E31" s="17">
        <f>B31*D31</f>
        <v>165</v>
      </c>
      <c r="F31" s="18" t="s">
        <v>36</v>
      </c>
    </row>
    <row r="32" spans="1:6" x14ac:dyDescent="0.15">
      <c r="A32" t="s">
        <v>312</v>
      </c>
      <c r="B32" s="12">
        <v>3</v>
      </c>
      <c r="C32" t="s">
        <v>39</v>
      </c>
      <c r="D32" s="17">
        <f>Hired_Labor</f>
        <v>16.5</v>
      </c>
      <c r="E32" s="17">
        <f>D32*B32</f>
        <v>49.5</v>
      </c>
      <c r="F32" s="18" t="s">
        <v>36</v>
      </c>
    </row>
    <row r="33" spans="1:6" x14ac:dyDescent="0.15">
      <c r="A33" t="s">
        <v>298</v>
      </c>
      <c r="B33" s="12">
        <v>200</v>
      </c>
      <c r="C33" t="s">
        <v>94</v>
      </c>
      <c r="D33" s="17">
        <v>0.6</v>
      </c>
      <c r="E33" s="17">
        <f>D33*B33</f>
        <v>120</v>
      </c>
      <c r="F33" s="18"/>
    </row>
    <row r="34" spans="1:6" x14ac:dyDescent="0.15">
      <c r="A34" t="s">
        <v>125</v>
      </c>
      <c r="B34" s="83">
        <f>Marketing_Pct</f>
        <v>0.1</v>
      </c>
      <c r="C34" s="62" t="s">
        <v>41</v>
      </c>
      <c r="D34" s="63"/>
      <c r="E34" s="63">
        <f>B34*E10</f>
        <v>250</v>
      </c>
    </row>
    <row r="35" spans="1:6" x14ac:dyDescent="0.15">
      <c r="A35" s="2" t="s">
        <v>42</v>
      </c>
      <c r="E35" s="19">
        <f>SUM(E29:E34)</f>
        <v>615.57999999999993</v>
      </c>
    </row>
    <row r="37" spans="1:6" x14ac:dyDescent="0.15">
      <c r="A37" t="s">
        <v>43</v>
      </c>
      <c r="E37" s="24">
        <f>(Interest_Pct*0.5*E25)+(Interest_Pct*0.25*E35)</f>
        <v>14.112599999999999</v>
      </c>
    </row>
    <row r="39" spans="1:6" x14ac:dyDescent="0.15">
      <c r="A39" s="2" t="s">
        <v>44</v>
      </c>
      <c r="B39" s="2"/>
      <c r="C39" s="2"/>
      <c r="D39" s="2"/>
      <c r="E39" s="19">
        <f>SUM(E25+E35+E37)</f>
        <v>792.32259999999997</v>
      </c>
    </row>
    <row r="41" spans="1:6" x14ac:dyDescent="0.15">
      <c r="A41" s="66" t="s">
        <v>45</v>
      </c>
      <c r="B41" s="67"/>
      <c r="C41" s="67"/>
      <c r="D41" s="67"/>
      <c r="E41" s="68">
        <f>E10-E39</f>
        <v>1707.6774</v>
      </c>
    </row>
    <row r="42" spans="1:6" x14ac:dyDescent="0.15">
      <c r="A42" s="61"/>
      <c r="B42" s="61"/>
      <c r="C42" s="61"/>
      <c r="D42" s="61"/>
      <c r="E42" s="61"/>
    </row>
    <row r="43" spans="1:6" ht="15" customHeight="1" x14ac:dyDescent="0.15">
      <c r="A43" s="2" t="s">
        <v>46</v>
      </c>
    </row>
    <row r="44" spans="1:6" x14ac:dyDescent="0.15">
      <c r="A44" t="s">
        <v>47</v>
      </c>
      <c r="E44" s="17">
        <v>16.170000000000002</v>
      </c>
      <c r="F44" s="18"/>
    </row>
    <row r="45" spans="1:6" x14ac:dyDescent="0.15">
      <c r="A45" t="s">
        <v>127</v>
      </c>
      <c r="E45" s="17">
        <v>0</v>
      </c>
      <c r="F45" s="18"/>
    </row>
    <row r="46" spans="1:6" x14ac:dyDescent="0.15">
      <c r="A46" t="s">
        <v>49</v>
      </c>
      <c r="E46" s="17">
        <v>1</v>
      </c>
    </row>
    <row r="47" spans="1:6" x14ac:dyDescent="0.15">
      <c r="A47" t="s">
        <v>50</v>
      </c>
      <c r="B47" s="62"/>
      <c r="C47" s="62"/>
      <c r="D47" s="62"/>
      <c r="E47" s="63">
        <f>0.01*E10</f>
        <v>25</v>
      </c>
    </row>
    <row r="48" spans="1:6" x14ac:dyDescent="0.15">
      <c r="A48" s="2" t="s">
        <v>51</v>
      </c>
      <c r="E48" s="25">
        <f>SUM(E44:E47)</f>
        <v>42.17</v>
      </c>
    </row>
    <row r="50" spans="1:5" x14ac:dyDescent="0.15">
      <c r="A50" s="2" t="s">
        <v>52</v>
      </c>
      <c r="E50" s="19">
        <f>E39+E48</f>
        <v>834.49259999999992</v>
      </c>
    </row>
    <row r="52" spans="1:5" x14ac:dyDescent="0.15">
      <c r="A52" s="67" t="s">
        <v>53</v>
      </c>
      <c r="B52" s="67"/>
      <c r="C52" s="67"/>
      <c r="D52" s="67"/>
      <c r="E52" s="70">
        <f>E10-E50</f>
        <v>1665.5074</v>
      </c>
    </row>
    <row r="54" spans="1:5" x14ac:dyDescent="0.15">
      <c r="A54" t="s">
        <v>54</v>
      </c>
      <c r="B54">
        <v>2</v>
      </c>
      <c r="C54" t="s">
        <v>55</v>
      </c>
      <c r="D54" s="17">
        <f>Operator_Labor</f>
        <v>16.5</v>
      </c>
      <c r="E54" s="17">
        <f>B54*D54</f>
        <v>33</v>
      </c>
    </row>
    <row r="55" spans="1:5" ht="14" thickBot="1" x14ac:dyDescent="0.2">
      <c r="A55" s="1"/>
      <c r="B55" s="1"/>
      <c r="C55" s="1"/>
      <c r="D55" s="1"/>
      <c r="E55" s="1"/>
    </row>
    <row r="56" spans="1:5" ht="14" thickBot="1" x14ac:dyDescent="0.2">
      <c r="A56" s="71" t="s">
        <v>56</v>
      </c>
      <c r="B56" s="1"/>
      <c r="C56" s="1"/>
      <c r="D56" s="1"/>
      <c r="E56" s="72">
        <f>E52-E54</f>
        <v>1632.5074</v>
      </c>
    </row>
    <row r="58" spans="1:5" x14ac:dyDescent="0.15">
      <c r="A58" s="18" t="s">
        <v>218</v>
      </c>
    </row>
    <row r="59" spans="1:5" x14ac:dyDescent="0.15">
      <c r="A59" s="18" t="s">
        <v>266</v>
      </c>
    </row>
    <row r="60" spans="1:5" x14ac:dyDescent="0.15">
      <c r="A60" s="18" t="s">
        <v>273</v>
      </c>
    </row>
    <row r="61" spans="1:5" x14ac:dyDescent="0.15">
      <c r="A61" s="18" t="s">
        <v>274</v>
      </c>
    </row>
    <row r="62" spans="1:5" x14ac:dyDescent="0.15">
      <c r="A62" s="18" t="s">
        <v>219</v>
      </c>
    </row>
  </sheetData>
  <pageMargins left="0.75" right="0.75" top="1" bottom="1" header="0.5" footer="0.5"/>
  <pageSetup scale="79"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M70"/>
  <sheetViews>
    <sheetView zoomScaleNormal="100" workbookViewId="0">
      <selection activeCell="A70" sqref="A70"/>
    </sheetView>
  </sheetViews>
  <sheetFormatPr baseColWidth="10" defaultColWidth="8.83203125" defaultRowHeight="13" x14ac:dyDescent="0.15"/>
  <cols>
    <col min="1" max="1" width="32.5" customWidth="1"/>
    <col min="2" max="2" width="8" bestFit="1" customWidth="1"/>
    <col min="3" max="3" width="9" bestFit="1" customWidth="1"/>
    <col min="4" max="4" width="8" bestFit="1" customWidth="1"/>
    <col min="5" max="5" width="10.6640625" bestFit="1" customWidth="1"/>
    <col min="6" max="6" width="3.6640625" customWidth="1"/>
    <col min="11" max="11" width="20.5" bestFit="1" customWidth="1"/>
  </cols>
  <sheetData>
    <row r="1" spans="1:13" ht="16" x14ac:dyDescent="0.2">
      <c r="A1" s="76" t="s">
        <v>141</v>
      </c>
      <c r="I1" s="2"/>
      <c r="J1" s="3"/>
      <c r="K1" s="7"/>
      <c r="L1" s="15"/>
      <c r="M1" s="7"/>
    </row>
    <row r="2" spans="1:13" x14ac:dyDescent="0.15">
      <c r="A2" s="2" t="s">
        <v>255</v>
      </c>
      <c r="G2" s="2"/>
      <c r="K2" s="7"/>
      <c r="L2" s="6"/>
      <c r="M2" s="7"/>
    </row>
    <row r="3" spans="1:13" s="2" customFormat="1" x14ac:dyDescent="0.15">
      <c r="A3" s="2" t="s">
        <v>200</v>
      </c>
    </row>
    <row r="4" spans="1:13" x14ac:dyDescent="0.15">
      <c r="A4" s="59" t="s">
        <v>251</v>
      </c>
    </row>
    <row r="5" spans="1:13" x14ac:dyDescent="0.15">
      <c r="A5" s="59" t="s">
        <v>252</v>
      </c>
    </row>
    <row r="6" spans="1:13" ht="18.75" customHeight="1" x14ac:dyDescent="0.15">
      <c r="B6" s="105" t="s">
        <v>12</v>
      </c>
      <c r="C6" s="105" t="s">
        <v>13</v>
      </c>
      <c r="D6" s="105" t="s">
        <v>14</v>
      </c>
      <c r="E6" s="105" t="s">
        <v>15</v>
      </c>
    </row>
    <row r="7" spans="1:13" x14ac:dyDescent="0.15">
      <c r="A7" s="2" t="s">
        <v>16</v>
      </c>
      <c r="B7" s="94"/>
      <c r="C7" s="87"/>
      <c r="D7" s="87"/>
      <c r="E7" s="87"/>
      <c r="G7" s="7"/>
      <c r="H7" s="7"/>
      <c r="I7" s="7"/>
      <c r="J7" s="7"/>
      <c r="K7" s="7"/>
    </row>
    <row r="8" spans="1:13" x14ac:dyDescent="0.15">
      <c r="A8" t="s">
        <v>142</v>
      </c>
      <c r="B8" s="95">
        <v>200</v>
      </c>
      <c r="C8" s="87" t="s">
        <v>143</v>
      </c>
      <c r="D8" s="90">
        <v>8</v>
      </c>
      <c r="E8" s="90">
        <f>B8*D8</f>
        <v>1600</v>
      </c>
      <c r="F8" s="18" t="s">
        <v>77</v>
      </c>
      <c r="G8" s="7"/>
      <c r="H8" s="7"/>
      <c r="I8" s="7"/>
      <c r="J8" s="7"/>
      <c r="K8" s="7"/>
    </row>
    <row r="9" spans="1:13" x14ac:dyDescent="0.15">
      <c r="A9" t="s">
        <v>144</v>
      </c>
      <c r="B9" s="92">
        <v>50</v>
      </c>
      <c r="C9" s="87" t="s">
        <v>143</v>
      </c>
      <c r="D9" s="90">
        <v>5</v>
      </c>
      <c r="E9" s="90">
        <f>B9*D9</f>
        <v>250</v>
      </c>
      <c r="F9" t="s">
        <v>77</v>
      </c>
      <c r="G9" s="7"/>
      <c r="H9" s="7"/>
      <c r="I9" s="7"/>
      <c r="J9" s="7"/>
      <c r="K9" s="7"/>
    </row>
    <row r="10" spans="1:13" ht="15" customHeight="1" x14ac:dyDescent="0.15">
      <c r="A10" t="s">
        <v>61</v>
      </c>
      <c r="B10" s="87"/>
      <c r="C10" s="87"/>
      <c r="D10" s="87"/>
      <c r="E10" s="91">
        <f>SUM(E8:E9)</f>
        <v>1850</v>
      </c>
      <c r="G10" s="7"/>
      <c r="H10" s="7"/>
      <c r="I10" s="7"/>
      <c r="J10" s="7"/>
      <c r="K10" s="7"/>
    </row>
    <row r="11" spans="1:13" ht="11" customHeight="1" x14ac:dyDescent="0.15">
      <c r="E11" s="19"/>
      <c r="G11" s="7"/>
      <c r="H11" s="7"/>
      <c r="I11" s="7"/>
      <c r="J11" s="7"/>
      <c r="K11" s="7"/>
    </row>
    <row r="12" spans="1:13" x14ac:dyDescent="0.15">
      <c r="A12" s="61"/>
      <c r="B12" s="61"/>
      <c r="C12" s="61"/>
      <c r="D12" s="61"/>
      <c r="E12" s="61"/>
    </row>
    <row r="13" spans="1:13" ht="15" customHeight="1" x14ac:dyDescent="0.15">
      <c r="A13" s="2" t="s">
        <v>20</v>
      </c>
    </row>
    <row r="14" spans="1:13" x14ac:dyDescent="0.15">
      <c r="A14" t="s">
        <v>21</v>
      </c>
    </row>
    <row r="15" spans="1:13" x14ac:dyDescent="0.15">
      <c r="A15" s="3" t="s">
        <v>145</v>
      </c>
      <c r="B15" s="28">
        <v>250</v>
      </c>
      <c r="C15" s="3" t="s">
        <v>86</v>
      </c>
      <c r="D15" s="36">
        <v>0.12</v>
      </c>
      <c r="E15" s="17">
        <f t="shared" ref="E15:E24" si="0">B15*D15</f>
        <v>30</v>
      </c>
      <c r="G15" s="3"/>
    </row>
    <row r="16" spans="1:13" x14ac:dyDescent="0.15">
      <c r="A16" t="s">
        <v>64</v>
      </c>
      <c r="B16">
        <v>12</v>
      </c>
      <c r="C16" t="s">
        <v>23</v>
      </c>
      <c r="D16" s="36">
        <v>0.4</v>
      </c>
      <c r="E16" s="17">
        <f t="shared" si="0"/>
        <v>4.8000000000000007</v>
      </c>
      <c r="G16" s="3"/>
    </row>
    <row r="17" spans="1:7" x14ac:dyDescent="0.15">
      <c r="A17" t="s">
        <v>88</v>
      </c>
      <c r="B17">
        <v>2</v>
      </c>
      <c r="C17" t="s">
        <v>23</v>
      </c>
      <c r="D17" s="36">
        <v>0.6</v>
      </c>
      <c r="E17" s="17">
        <f t="shared" si="0"/>
        <v>1.2</v>
      </c>
      <c r="G17" s="3"/>
    </row>
    <row r="18" spans="1:7" x14ac:dyDescent="0.15">
      <c r="A18" t="s">
        <v>66</v>
      </c>
      <c r="B18" s="21">
        <v>21</v>
      </c>
      <c r="C18" t="s">
        <v>23</v>
      </c>
      <c r="D18" s="36">
        <v>0.65</v>
      </c>
      <c r="E18" s="17">
        <f t="shared" si="0"/>
        <v>13.65</v>
      </c>
      <c r="F18" t="s">
        <v>98</v>
      </c>
      <c r="G18" s="3"/>
    </row>
    <row r="19" spans="1:7" x14ac:dyDescent="0.15">
      <c r="A19" t="s">
        <v>67</v>
      </c>
      <c r="B19">
        <v>700</v>
      </c>
      <c r="C19" t="s">
        <v>59</v>
      </c>
      <c r="D19" s="17">
        <v>0.05</v>
      </c>
      <c r="E19" s="17">
        <f t="shared" si="0"/>
        <v>35</v>
      </c>
      <c r="F19" s="18" t="s">
        <v>28</v>
      </c>
    </row>
    <row r="20" spans="1:7" x14ac:dyDescent="0.15">
      <c r="A20" t="s">
        <v>68</v>
      </c>
      <c r="B20">
        <v>700</v>
      </c>
      <c r="C20" t="s">
        <v>59</v>
      </c>
      <c r="D20" s="17">
        <v>5.2999999999999999E-2</v>
      </c>
      <c r="E20" s="17">
        <f t="shared" si="0"/>
        <v>37.1</v>
      </c>
      <c r="F20" s="18" t="s">
        <v>28</v>
      </c>
    </row>
    <row r="21" spans="1:7" x14ac:dyDescent="0.15">
      <c r="A21" t="s">
        <v>91</v>
      </c>
      <c r="B21">
        <v>0.33</v>
      </c>
      <c r="C21" t="s">
        <v>92</v>
      </c>
      <c r="D21" s="17">
        <v>75</v>
      </c>
      <c r="E21" s="17">
        <f>B21*D21</f>
        <v>24.75</v>
      </c>
      <c r="F21" t="s">
        <v>131</v>
      </c>
    </row>
    <row r="22" spans="1:7" x14ac:dyDescent="0.15">
      <c r="A22" t="s">
        <v>31</v>
      </c>
      <c r="B22">
        <v>1</v>
      </c>
      <c r="C22" t="s">
        <v>90</v>
      </c>
      <c r="D22" s="17">
        <f>1.26+Hired_Labor*4</f>
        <v>67.260000000000005</v>
      </c>
      <c r="E22" s="17">
        <f t="shared" si="0"/>
        <v>67.260000000000005</v>
      </c>
      <c r="F22" s="18" t="s">
        <v>32</v>
      </c>
    </row>
    <row r="23" spans="1:7" x14ac:dyDescent="0.15">
      <c r="A23" s="3" t="s">
        <v>33</v>
      </c>
      <c r="B23">
        <v>1</v>
      </c>
      <c r="C23" t="s">
        <v>90</v>
      </c>
      <c r="D23" s="17">
        <f>3.61+Operator_Labor</f>
        <v>20.11</v>
      </c>
      <c r="E23" s="17">
        <f t="shared" si="0"/>
        <v>20.11</v>
      </c>
      <c r="F23" s="18" t="s">
        <v>32</v>
      </c>
    </row>
    <row r="24" spans="1:7" x14ac:dyDescent="0.15">
      <c r="A24" t="s">
        <v>34</v>
      </c>
      <c r="B24">
        <v>1</v>
      </c>
      <c r="C24" t="s">
        <v>90</v>
      </c>
      <c r="D24" s="36">
        <f>22.37+Operator_Labor</f>
        <v>38.870000000000005</v>
      </c>
      <c r="E24" s="17">
        <f t="shared" si="0"/>
        <v>38.870000000000005</v>
      </c>
      <c r="F24" s="18" t="s">
        <v>32</v>
      </c>
      <c r="G24" s="3"/>
    </row>
    <row r="25" spans="1:7" x14ac:dyDescent="0.15">
      <c r="A25" t="s">
        <v>69</v>
      </c>
      <c r="B25">
        <v>0.12</v>
      </c>
      <c r="C25" t="s">
        <v>81</v>
      </c>
      <c r="D25" s="17">
        <v>65</v>
      </c>
      <c r="E25" s="17">
        <f>B25*D25</f>
        <v>7.8</v>
      </c>
      <c r="F25" s="18" t="s">
        <v>28</v>
      </c>
    </row>
    <row r="26" spans="1:7" x14ac:dyDescent="0.15">
      <c r="A26" t="s">
        <v>93</v>
      </c>
      <c r="B26">
        <v>4</v>
      </c>
      <c r="C26" t="s">
        <v>55</v>
      </c>
      <c r="D26" s="17">
        <f>Hired_Labor</f>
        <v>16.5</v>
      </c>
      <c r="E26" s="17">
        <f>B26*D26</f>
        <v>66</v>
      </c>
      <c r="F26" s="18"/>
    </row>
    <row r="27" spans="1:7" x14ac:dyDescent="0.15">
      <c r="A27" t="s">
        <v>35</v>
      </c>
      <c r="B27" s="62">
        <v>1</v>
      </c>
      <c r="C27" s="62" t="s">
        <v>90</v>
      </c>
      <c r="D27" s="63">
        <v>12.32</v>
      </c>
      <c r="E27" s="63">
        <f>B27*D27</f>
        <v>12.32</v>
      </c>
      <c r="F27" s="18" t="s">
        <v>36</v>
      </c>
    </row>
    <row r="28" spans="1:7" x14ac:dyDescent="0.15">
      <c r="A28" s="2" t="s">
        <v>37</v>
      </c>
      <c r="D28" s="17"/>
      <c r="E28" s="19">
        <f>SUM(E15:E27)</f>
        <v>358.86</v>
      </c>
    </row>
    <row r="30" spans="1:7" x14ac:dyDescent="0.15">
      <c r="A30" s="61"/>
      <c r="B30" s="61"/>
      <c r="C30" s="61"/>
      <c r="D30" s="61"/>
      <c r="E30" s="61"/>
    </row>
    <row r="31" spans="1:7" ht="15" customHeight="1" x14ac:dyDescent="0.15">
      <c r="A31" s="2" t="s">
        <v>38</v>
      </c>
    </row>
    <row r="32" spans="1:7" x14ac:dyDescent="0.15">
      <c r="A32" t="s">
        <v>292</v>
      </c>
      <c r="B32">
        <v>2</v>
      </c>
      <c r="C32" t="s">
        <v>71</v>
      </c>
      <c r="D32" s="17">
        <f>Hired_Labor</f>
        <v>16.5</v>
      </c>
      <c r="E32" s="17">
        <f>B32*D32</f>
        <v>33</v>
      </c>
    </row>
    <row r="33" spans="1:7" x14ac:dyDescent="0.15">
      <c r="A33" t="s">
        <v>297</v>
      </c>
      <c r="D33" s="17"/>
    </row>
    <row r="34" spans="1:7" x14ac:dyDescent="0.15">
      <c r="A34" t="s">
        <v>313</v>
      </c>
      <c r="B34" s="37">
        <v>11</v>
      </c>
      <c r="C34" t="s">
        <v>39</v>
      </c>
      <c r="D34" s="17">
        <f>Hired_Labor</f>
        <v>16.5</v>
      </c>
      <c r="E34" s="17">
        <f>B34*D34</f>
        <v>181.5</v>
      </c>
      <c r="F34" s="18" t="s">
        <v>72</v>
      </c>
      <c r="G34" s="3"/>
    </row>
    <row r="35" spans="1:7" x14ac:dyDescent="0.15">
      <c r="A35" s="3" t="s">
        <v>301</v>
      </c>
      <c r="B35" s="35">
        <v>5</v>
      </c>
      <c r="C35" s="3" t="s">
        <v>146</v>
      </c>
      <c r="D35" s="17">
        <v>14</v>
      </c>
      <c r="E35" s="17">
        <f>B35*D35</f>
        <v>70</v>
      </c>
      <c r="F35" s="18"/>
      <c r="G35" s="3"/>
    </row>
    <row r="36" spans="1:7" x14ac:dyDescent="0.15">
      <c r="A36" t="s">
        <v>125</v>
      </c>
      <c r="B36" s="23">
        <f>Marketing_Pct</f>
        <v>0.1</v>
      </c>
      <c r="C36" t="s">
        <v>41</v>
      </c>
      <c r="D36" s="17"/>
      <c r="E36" s="17">
        <f>B36*E10</f>
        <v>185</v>
      </c>
    </row>
    <row r="37" spans="1:7" x14ac:dyDescent="0.15">
      <c r="A37" t="s">
        <v>314</v>
      </c>
      <c r="B37" s="84">
        <f>B8</f>
        <v>200</v>
      </c>
      <c r="C37" s="62" t="s">
        <v>94</v>
      </c>
      <c r="D37" s="63">
        <v>0.55000000000000004</v>
      </c>
      <c r="E37" s="63">
        <f>B37*D37</f>
        <v>110.00000000000001</v>
      </c>
      <c r="F37" s="18" t="s">
        <v>36</v>
      </c>
    </row>
    <row r="38" spans="1:7" x14ac:dyDescent="0.15">
      <c r="A38" s="2" t="s">
        <v>42</v>
      </c>
      <c r="E38" s="19">
        <f>SUM(E32:E37)</f>
        <v>579.5</v>
      </c>
    </row>
    <row r="40" spans="1:7" x14ac:dyDescent="0.15">
      <c r="A40" t="s">
        <v>43</v>
      </c>
      <c r="E40" s="24">
        <f>(Interest_Pct*0.5*E28)+(Interest_Pct*0.25*E38)</f>
        <v>19.458300000000001</v>
      </c>
    </row>
    <row r="42" spans="1:7" x14ac:dyDescent="0.15">
      <c r="A42" s="2" t="s">
        <v>44</v>
      </c>
      <c r="B42" s="2"/>
      <c r="C42" s="2"/>
      <c r="D42" s="2"/>
      <c r="E42" s="19">
        <f>SUM(E28+E38+E40)</f>
        <v>957.81830000000002</v>
      </c>
    </row>
    <row r="44" spans="1:7" x14ac:dyDescent="0.15">
      <c r="A44" s="66" t="s">
        <v>45</v>
      </c>
      <c r="B44" s="67"/>
      <c r="C44" s="67"/>
      <c r="D44" s="67"/>
      <c r="E44" s="68">
        <f>E10-E42</f>
        <v>892.18169999999998</v>
      </c>
    </row>
    <row r="46" spans="1:7" x14ac:dyDescent="0.15">
      <c r="A46" s="61"/>
      <c r="B46" s="61"/>
      <c r="C46" s="61"/>
      <c r="D46" s="61"/>
      <c r="E46" s="61"/>
    </row>
    <row r="47" spans="1:7" ht="15" customHeight="1" x14ac:dyDescent="0.15">
      <c r="A47" s="2" t="s">
        <v>46</v>
      </c>
    </row>
    <row r="48" spans="1:7" x14ac:dyDescent="0.15">
      <c r="A48" t="s">
        <v>47</v>
      </c>
      <c r="E48" s="17">
        <v>21.41</v>
      </c>
      <c r="F48" s="18" t="s">
        <v>36</v>
      </c>
    </row>
    <row r="49" spans="1:6" x14ac:dyDescent="0.15">
      <c r="A49" t="s">
        <v>48</v>
      </c>
      <c r="E49" s="17">
        <f>322.8/3</f>
        <v>107.60000000000001</v>
      </c>
      <c r="F49" t="s">
        <v>28</v>
      </c>
    </row>
    <row r="50" spans="1:6" x14ac:dyDescent="0.15">
      <c r="A50" t="s">
        <v>49</v>
      </c>
      <c r="E50" s="17">
        <v>1</v>
      </c>
    </row>
    <row r="51" spans="1:6" x14ac:dyDescent="0.15">
      <c r="A51" t="s">
        <v>50</v>
      </c>
      <c r="B51" s="62"/>
      <c r="C51" s="62"/>
      <c r="D51" s="62"/>
      <c r="E51" s="63">
        <f>0.01*E42</f>
        <v>9.578183000000001</v>
      </c>
    </row>
    <row r="52" spans="1:6" x14ac:dyDescent="0.15">
      <c r="A52" s="2" t="s">
        <v>51</v>
      </c>
      <c r="E52" s="25">
        <f>SUM(E48:E51)</f>
        <v>139.58818300000001</v>
      </c>
    </row>
    <row r="54" spans="1:6" x14ac:dyDescent="0.15">
      <c r="A54" s="2" t="s">
        <v>52</v>
      </c>
      <c r="E54" s="19">
        <f>E42+E52</f>
        <v>1097.406483</v>
      </c>
    </row>
    <row r="56" spans="1:6" x14ac:dyDescent="0.15">
      <c r="A56" s="67" t="s">
        <v>53</v>
      </c>
      <c r="B56" s="67"/>
      <c r="C56" s="67"/>
      <c r="D56" s="67"/>
      <c r="E56" s="70">
        <f>E10-E54</f>
        <v>752.59351700000002</v>
      </c>
    </row>
    <row r="58" spans="1:6" x14ac:dyDescent="0.15">
      <c r="A58" t="s">
        <v>54</v>
      </c>
      <c r="B58">
        <v>10</v>
      </c>
      <c r="C58" t="s">
        <v>55</v>
      </c>
      <c r="D58" s="17">
        <f>Operator_Labor</f>
        <v>16.5</v>
      </c>
      <c r="E58" s="17">
        <f>B58*D58</f>
        <v>165</v>
      </c>
    </row>
    <row r="59" spans="1:6" ht="14" thickBot="1" x14ac:dyDescent="0.2">
      <c r="A59" s="1"/>
      <c r="B59" s="1"/>
      <c r="C59" s="1"/>
      <c r="D59" s="1"/>
      <c r="E59" s="1"/>
    </row>
    <row r="60" spans="1:6" ht="14" thickBot="1" x14ac:dyDescent="0.2">
      <c r="A60" s="71" t="s">
        <v>56</v>
      </c>
      <c r="B60" s="1"/>
      <c r="C60" s="1"/>
      <c r="D60" s="1"/>
      <c r="E60" s="72">
        <f>E56-E58</f>
        <v>587.59351700000002</v>
      </c>
    </row>
    <row r="62" spans="1:6" x14ac:dyDescent="0.15">
      <c r="A62" s="18" t="s">
        <v>75</v>
      </c>
    </row>
    <row r="63" spans="1:6" x14ac:dyDescent="0.15">
      <c r="A63" s="18" t="s">
        <v>266</v>
      </c>
    </row>
    <row r="64" spans="1:6" x14ac:dyDescent="0.15">
      <c r="A64" s="18" t="s">
        <v>237</v>
      </c>
    </row>
    <row r="65" spans="1:1" x14ac:dyDescent="0.15">
      <c r="A65" s="18" t="s">
        <v>238</v>
      </c>
    </row>
    <row r="66" spans="1:1" x14ac:dyDescent="0.15">
      <c r="A66" s="18" t="s">
        <v>256</v>
      </c>
    </row>
    <row r="67" spans="1:1" x14ac:dyDescent="0.15">
      <c r="A67" s="18" t="s">
        <v>275</v>
      </c>
    </row>
    <row r="68" spans="1:1" x14ac:dyDescent="0.15">
      <c r="A68" s="18" t="s">
        <v>210</v>
      </c>
    </row>
    <row r="69" spans="1:1" x14ac:dyDescent="0.15">
      <c r="A69" s="18" t="s">
        <v>220</v>
      </c>
    </row>
    <row r="70" spans="1:1" x14ac:dyDescent="0.15">
      <c r="A70" s="18" t="s">
        <v>332</v>
      </c>
    </row>
  </sheetData>
  <pageMargins left="0.75" right="0.75" top="1" bottom="1" header="0.5" footer="0.5"/>
  <pageSetup scale="77"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M71"/>
  <sheetViews>
    <sheetView zoomScaleNormal="100" workbookViewId="0">
      <selection activeCell="J24" sqref="J24"/>
    </sheetView>
  </sheetViews>
  <sheetFormatPr baseColWidth="10" defaultColWidth="8.83203125" defaultRowHeight="13" x14ac:dyDescent="0.15"/>
  <cols>
    <col min="1" max="1" width="31.6640625" customWidth="1"/>
    <col min="2" max="2" width="8.1640625" bestFit="1" customWidth="1"/>
    <col min="3" max="3" width="5.83203125" customWidth="1"/>
    <col min="4" max="4" width="8.1640625" bestFit="1" customWidth="1"/>
    <col min="5" max="5" width="10.83203125" bestFit="1" customWidth="1"/>
    <col min="6" max="6" width="3.5" customWidth="1"/>
    <col min="11" max="11" width="20.5" bestFit="1" customWidth="1"/>
  </cols>
  <sheetData>
    <row r="1" spans="1:13" ht="16" x14ac:dyDescent="0.2">
      <c r="A1" s="76" t="s">
        <v>147</v>
      </c>
      <c r="I1" s="2"/>
      <c r="J1" s="3"/>
      <c r="K1" s="7"/>
      <c r="L1" s="15"/>
      <c r="M1" s="7"/>
    </row>
    <row r="2" spans="1:13" x14ac:dyDescent="0.15">
      <c r="A2" s="2" t="s">
        <v>255</v>
      </c>
      <c r="G2" s="2"/>
      <c r="K2" s="7"/>
      <c r="L2" s="6"/>
      <c r="M2" s="7"/>
    </row>
    <row r="3" spans="1:13" s="2" customFormat="1" x14ac:dyDescent="0.15">
      <c r="A3" s="2" t="s">
        <v>200</v>
      </c>
    </row>
    <row r="4" spans="1:13" x14ac:dyDescent="0.15">
      <c r="A4" s="59" t="s">
        <v>251</v>
      </c>
    </row>
    <row r="5" spans="1:13" x14ac:dyDescent="0.15">
      <c r="A5" s="59" t="s">
        <v>252</v>
      </c>
    </row>
    <row r="6" spans="1:13" ht="18.75" customHeight="1" x14ac:dyDescent="0.15">
      <c r="B6" s="105" t="s">
        <v>12</v>
      </c>
      <c r="C6" s="105" t="s">
        <v>13</v>
      </c>
      <c r="D6" s="105" t="s">
        <v>14</v>
      </c>
      <c r="E6" s="105" t="s">
        <v>15</v>
      </c>
    </row>
    <row r="7" spans="1:13" x14ac:dyDescent="0.15">
      <c r="A7" s="2" t="s">
        <v>16</v>
      </c>
      <c r="B7" s="94"/>
      <c r="C7" s="87"/>
      <c r="D7" s="87"/>
      <c r="E7" s="87"/>
      <c r="G7" s="7"/>
      <c r="H7" s="7"/>
      <c r="I7" s="7"/>
      <c r="J7" s="7"/>
      <c r="K7" s="7"/>
    </row>
    <row r="8" spans="1:13" x14ac:dyDescent="0.15">
      <c r="A8" t="s">
        <v>148</v>
      </c>
      <c r="B8" s="96">
        <v>45</v>
      </c>
      <c r="C8" s="87" t="s">
        <v>40</v>
      </c>
      <c r="D8" s="90">
        <v>50</v>
      </c>
      <c r="E8" s="90">
        <f>B8*D8</f>
        <v>2250</v>
      </c>
      <c r="F8" s="18" t="s">
        <v>77</v>
      </c>
      <c r="G8" s="7"/>
      <c r="H8" s="7"/>
      <c r="I8" s="7"/>
      <c r="J8" s="7"/>
      <c r="K8" s="7"/>
    </row>
    <row r="9" spans="1:13" x14ac:dyDescent="0.15">
      <c r="B9" s="87"/>
      <c r="C9" s="87"/>
      <c r="D9" s="90"/>
      <c r="E9" s="90">
        <f>B9*D9</f>
        <v>0</v>
      </c>
      <c r="G9" s="7"/>
      <c r="H9" s="7"/>
      <c r="I9" s="7"/>
      <c r="J9" s="7"/>
      <c r="K9" s="7"/>
    </row>
    <row r="10" spans="1:13" ht="15" customHeight="1" x14ac:dyDescent="0.15">
      <c r="A10" t="s">
        <v>61</v>
      </c>
      <c r="B10" s="87"/>
      <c r="C10" s="87"/>
      <c r="D10" s="87"/>
      <c r="E10" s="91">
        <f>SUM(E8:E9)</f>
        <v>2250</v>
      </c>
      <c r="G10" s="7"/>
      <c r="H10" s="7"/>
      <c r="I10" s="7"/>
      <c r="J10" s="7"/>
      <c r="K10" s="7"/>
    </row>
    <row r="11" spans="1:13" ht="10" customHeight="1" x14ac:dyDescent="0.15">
      <c r="E11" s="19"/>
      <c r="G11" s="7"/>
      <c r="H11" s="7"/>
      <c r="I11" s="7"/>
      <c r="J11" s="7"/>
      <c r="K11" s="7"/>
    </row>
    <row r="12" spans="1:13" x14ac:dyDescent="0.15">
      <c r="A12" s="61"/>
      <c r="B12" s="61"/>
      <c r="C12" s="61"/>
      <c r="D12" s="61"/>
      <c r="E12" s="61"/>
    </row>
    <row r="13" spans="1:13" ht="15" customHeight="1" x14ac:dyDescent="0.15">
      <c r="A13" s="2" t="s">
        <v>20</v>
      </c>
    </row>
    <row r="14" spans="1:13" x14ac:dyDescent="0.15">
      <c r="A14" t="s">
        <v>21</v>
      </c>
      <c r="D14" s="17"/>
    </row>
    <row r="15" spans="1:13" x14ac:dyDescent="0.15">
      <c r="A15" t="s">
        <v>149</v>
      </c>
      <c r="B15" s="28">
        <v>230</v>
      </c>
      <c r="C15" t="s">
        <v>63</v>
      </c>
      <c r="D15" s="17">
        <v>0.3</v>
      </c>
      <c r="E15" s="17">
        <f t="shared" ref="E15:E24" si="0">B15*D15</f>
        <v>69</v>
      </c>
    </row>
    <row r="16" spans="1:13" x14ac:dyDescent="0.15">
      <c r="A16" t="s">
        <v>64</v>
      </c>
      <c r="B16">
        <v>12</v>
      </c>
      <c r="C16" t="s">
        <v>23</v>
      </c>
      <c r="D16" s="17">
        <v>0.4</v>
      </c>
      <c r="E16" s="17">
        <f t="shared" si="0"/>
        <v>4.8000000000000007</v>
      </c>
    </row>
    <row r="17" spans="1:7" x14ac:dyDescent="0.15">
      <c r="A17" t="s">
        <v>88</v>
      </c>
      <c r="B17">
        <v>2</v>
      </c>
      <c r="C17" t="s">
        <v>23</v>
      </c>
      <c r="D17" s="17">
        <v>0.6</v>
      </c>
      <c r="E17" s="17">
        <f t="shared" si="0"/>
        <v>1.2</v>
      </c>
    </row>
    <row r="18" spans="1:7" x14ac:dyDescent="0.15">
      <c r="A18" t="s">
        <v>66</v>
      </c>
      <c r="B18" s="21">
        <v>20</v>
      </c>
      <c r="C18" t="s">
        <v>23</v>
      </c>
      <c r="D18" s="36">
        <v>0.65</v>
      </c>
      <c r="E18" s="17">
        <f t="shared" si="0"/>
        <v>13</v>
      </c>
      <c r="F18" t="s">
        <v>98</v>
      </c>
      <c r="G18" s="3"/>
    </row>
    <row r="19" spans="1:7" x14ac:dyDescent="0.15">
      <c r="A19" t="s">
        <v>67</v>
      </c>
      <c r="B19">
        <v>700</v>
      </c>
      <c r="C19" t="s">
        <v>59</v>
      </c>
      <c r="D19" s="17">
        <v>0.05</v>
      </c>
      <c r="E19" s="17">
        <f t="shared" si="0"/>
        <v>35</v>
      </c>
      <c r="F19" s="18" t="s">
        <v>28</v>
      </c>
    </row>
    <row r="20" spans="1:7" x14ac:dyDescent="0.15">
      <c r="A20" t="s">
        <v>68</v>
      </c>
      <c r="B20">
        <v>700</v>
      </c>
      <c r="C20" t="s">
        <v>59</v>
      </c>
      <c r="D20" s="17">
        <v>5.2999999999999999E-2</v>
      </c>
      <c r="E20" s="17">
        <f t="shared" si="0"/>
        <v>37.1</v>
      </c>
      <c r="F20" s="18" t="s">
        <v>28</v>
      </c>
    </row>
    <row r="21" spans="1:7" x14ac:dyDescent="0.15">
      <c r="A21" t="s">
        <v>91</v>
      </c>
      <c r="B21">
        <v>0.33</v>
      </c>
      <c r="C21" t="s">
        <v>92</v>
      </c>
      <c r="D21" s="17">
        <v>75</v>
      </c>
      <c r="E21" s="17">
        <f>B21*D21</f>
        <v>24.75</v>
      </c>
      <c r="F21" t="s">
        <v>131</v>
      </c>
    </row>
    <row r="22" spans="1:7" x14ac:dyDescent="0.15">
      <c r="A22" t="s">
        <v>31</v>
      </c>
      <c r="B22">
        <v>1</v>
      </c>
      <c r="C22" t="s">
        <v>90</v>
      </c>
      <c r="D22" s="17">
        <f>1.26+4*Hired_Labor</f>
        <v>67.260000000000005</v>
      </c>
      <c r="E22" s="17">
        <f t="shared" si="0"/>
        <v>67.260000000000005</v>
      </c>
      <c r="F22" s="18" t="s">
        <v>32</v>
      </c>
    </row>
    <row r="23" spans="1:7" x14ac:dyDescent="0.15">
      <c r="A23" t="s">
        <v>33</v>
      </c>
      <c r="B23">
        <v>1</v>
      </c>
      <c r="C23" t="s">
        <v>90</v>
      </c>
      <c r="D23" s="17">
        <f>2.49+Operator_Labor</f>
        <v>18.990000000000002</v>
      </c>
      <c r="E23" s="17">
        <f t="shared" si="0"/>
        <v>18.990000000000002</v>
      </c>
      <c r="F23" s="18" t="s">
        <v>32</v>
      </c>
    </row>
    <row r="24" spans="1:7" x14ac:dyDescent="0.15">
      <c r="A24" t="s">
        <v>34</v>
      </c>
      <c r="B24">
        <v>1</v>
      </c>
      <c r="C24" t="s">
        <v>90</v>
      </c>
      <c r="D24" s="36">
        <f>22.37+Operator_Labor</f>
        <v>38.870000000000005</v>
      </c>
      <c r="E24" s="17">
        <f t="shared" si="0"/>
        <v>38.870000000000005</v>
      </c>
      <c r="F24" s="18" t="s">
        <v>32</v>
      </c>
      <c r="G24" s="3"/>
    </row>
    <row r="25" spans="1:7" x14ac:dyDescent="0.15">
      <c r="A25" t="s">
        <v>69</v>
      </c>
      <c r="B25">
        <v>0.12</v>
      </c>
      <c r="C25" t="s">
        <v>81</v>
      </c>
      <c r="D25" s="17">
        <v>65</v>
      </c>
      <c r="E25" s="17">
        <f>B25*D25</f>
        <v>7.8</v>
      </c>
      <c r="F25" s="18" t="s">
        <v>28</v>
      </c>
    </row>
    <row r="26" spans="1:7" x14ac:dyDescent="0.15">
      <c r="A26" t="s">
        <v>329</v>
      </c>
      <c r="B26">
        <v>4</v>
      </c>
      <c r="C26" t="s">
        <v>39</v>
      </c>
      <c r="D26" s="17">
        <f>Hired_Labor</f>
        <v>16.5</v>
      </c>
      <c r="E26" s="17">
        <f>B26*D26</f>
        <v>66</v>
      </c>
      <c r="F26" s="18"/>
    </row>
    <row r="27" spans="1:7" x14ac:dyDescent="0.15">
      <c r="A27" t="s">
        <v>35</v>
      </c>
      <c r="B27" s="62">
        <v>1</v>
      </c>
      <c r="C27" s="62" t="s">
        <v>90</v>
      </c>
      <c r="D27" s="63">
        <v>12.32</v>
      </c>
      <c r="E27" s="63">
        <f>B27*D27</f>
        <v>12.32</v>
      </c>
      <c r="F27" s="18" t="s">
        <v>36</v>
      </c>
    </row>
    <row r="28" spans="1:7" x14ac:dyDescent="0.15">
      <c r="A28" s="2" t="s">
        <v>37</v>
      </c>
      <c r="D28" s="17"/>
      <c r="E28" s="19">
        <f>SUM(E15:E27)</f>
        <v>396.09000000000003</v>
      </c>
    </row>
    <row r="30" spans="1:7" x14ac:dyDescent="0.15">
      <c r="A30" s="61"/>
      <c r="B30" s="61"/>
      <c r="C30" s="61"/>
      <c r="D30" s="61"/>
      <c r="E30" s="61"/>
    </row>
    <row r="31" spans="1:7" ht="15" customHeight="1" x14ac:dyDescent="0.15">
      <c r="A31" s="2" t="s">
        <v>38</v>
      </c>
    </row>
    <row r="32" spans="1:7" x14ac:dyDescent="0.15">
      <c r="A32" t="s">
        <v>292</v>
      </c>
      <c r="B32">
        <v>2</v>
      </c>
      <c r="C32" t="s">
        <v>39</v>
      </c>
      <c r="D32" s="17">
        <f>Hired_Labor</f>
        <v>16.5</v>
      </c>
      <c r="E32" s="17">
        <f>B32*D32</f>
        <v>33</v>
      </c>
    </row>
    <row r="33" spans="1:7" x14ac:dyDescent="0.15">
      <c r="A33" t="s">
        <v>297</v>
      </c>
      <c r="D33" s="17"/>
    </row>
    <row r="34" spans="1:7" x14ac:dyDescent="0.15">
      <c r="A34" t="s">
        <v>313</v>
      </c>
      <c r="B34" s="12">
        <v>8</v>
      </c>
      <c r="C34" t="s">
        <v>39</v>
      </c>
      <c r="D34" s="17">
        <f>Hired_Labor</f>
        <v>16.5</v>
      </c>
      <c r="E34" s="17">
        <f>B34*D34</f>
        <v>132</v>
      </c>
      <c r="F34" s="18" t="s">
        <v>72</v>
      </c>
      <c r="G34" s="3"/>
    </row>
    <row r="35" spans="1:7" x14ac:dyDescent="0.15">
      <c r="A35" t="s">
        <v>295</v>
      </c>
      <c r="B35" s="22">
        <f>B8</f>
        <v>45</v>
      </c>
      <c r="C35" t="s">
        <v>40</v>
      </c>
      <c r="D35" s="17">
        <v>1.6</v>
      </c>
      <c r="E35" s="17">
        <f>B35*D35</f>
        <v>72</v>
      </c>
      <c r="F35" s="18"/>
      <c r="G35" s="3"/>
    </row>
    <row r="36" spans="1:7" x14ac:dyDescent="0.15">
      <c r="A36" t="s">
        <v>125</v>
      </c>
      <c r="B36" s="23">
        <f>Marketing_Pct</f>
        <v>0.1</v>
      </c>
      <c r="C36" t="s">
        <v>41</v>
      </c>
      <c r="D36" s="17"/>
      <c r="E36" s="17">
        <f>B36*E10</f>
        <v>225</v>
      </c>
    </row>
    <row r="37" spans="1:7" x14ac:dyDescent="0.15">
      <c r="A37" t="s">
        <v>314</v>
      </c>
      <c r="B37" s="84">
        <v>200</v>
      </c>
      <c r="C37" s="62" t="s">
        <v>94</v>
      </c>
      <c r="D37" s="63">
        <v>0.6</v>
      </c>
      <c r="E37" s="63">
        <f>B37*D37</f>
        <v>120</v>
      </c>
      <c r="F37" s="18" t="s">
        <v>36</v>
      </c>
    </row>
    <row r="38" spans="1:7" x14ac:dyDescent="0.15">
      <c r="A38" s="2" t="s">
        <v>42</v>
      </c>
      <c r="E38" s="19">
        <f>SUM(E32:E37)</f>
        <v>582</v>
      </c>
    </row>
    <row r="40" spans="1:7" x14ac:dyDescent="0.15">
      <c r="A40" t="s">
        <v>43</v>
      </c>
      <c r="E40" s="24">
        <f>(Interest_Pct*0.5*E28)+(Interest_Pct*0.25*E38)</f>
        <v>20.6127</v>
      </c>
    </row>
    <row r="42" spans="1:7" x14ac:dyDescent="0.15">
      <c r="A42" s="2" t="s">
        <v>44</v>
      </c>
      <c r="B42" s="2"/>
      <c r="C42" s="2"/>
      <c r="D42" s="2"/>
      <c r="E42" s="19">
        <f>SUM(E28+E38+E40)</f>
        <v>998.70270000000005</v>
      </c>
    </row>
    <row r="44" spans="1:7" x14ac:dyDescent="0.15">
      <c r="A44" s="66" t="s">
        <v>45</v>
      </c>
      <c r="B44" s="67"/>
      <c r="C44" s="67"/>
      <c r="D44" s="67"/>
      <c r="E44" s="68">
        <f>E10-E42</f>
        <v>1251.2973</v>
      </c>
    </row>
    <row r="46" spans="1:7" x14ac:dyDescent="0.15">
      <c r="A46" s="61"/>
      <c r="B46" s="61"/>
      <c r="C46" s="61"/>
      <c r="D46" s="61"/>
      <c r="E46" s="61"/>
    </row>
    <row r="47" spans="1:7" ht="15" customHeight="1" x14ac:dyDescent="0.15">
      <c r="A47" s="2" t="s">
        <v>46</v>
      </c>
    </row>
    <row r="48" spans="1:7" x14ac:dyDescent="0.15">
      <c r="A48" t="s">
        <v>47</v>
      </c>
      <c r="E48" s="17">
        <v>21.41</v>
      </c>
      <c r="F48" s="18" t="s">
        <v>36</v>
      </c>
    </row>
    <row r="49" spans="1:6" x14ac:dyDescent="0.15">
      <c r="A49" t="s">
        <v>48</v>
      </c>
      <c r="E49" s="17">
        <f>322.8/3</f>
        <v>107.60000000000001</v>
      </c>
      <c r="F49" t="s">
        <v>28</v>
      </c>
    </row>
    <row r="50" spans="1:6" x14ac:dyDescent="0.15">
      <c r="A50" t="s">
        <v>49</v>
      </c>
      <c r="E50" s="17">
        <v>1</v>
      </c>
    </row>
    <row r="51" spans="1:6" x14ac:dyDescent="0.15">
      <c r="A51" t="s">
        <v>50</v>
      </c>
      <c r="B51" s="62"/>
      <c r="C51" s="62"/>
      <c r="D51" s="62"/>
      <c r="E51" s="63">
        <f>0.01*E42</f>
        <v>9.9870270000000012</v>
      </c>
    </row>
    <row r="52" spans="1:6" x14ac:dyDescent="0.15">
      <c r="A52" s="2" t="s">
        <v>51</v>
      </c>
      <c r="E52" s="25">
        <f>SUM(E48:E51)</f>
        <v>139.99702700000003</v>
      </c>
    </row>
    <row r="54" spans="1:6" x14ac:dyDescent="0.15">
      <c r="A54" s="2" t="s">
        <v>52</v>
      </c>
      <c r="E54" s="19">
        <f>E42+E52</f>
        <v>1138.6997270000002</v>
      </c>
    </row>
    <row r="56" spans="1:6" x14ac:dyDescent="0.15">
      <c r="A56" s="67" t="s">
        <v>53</v>
      </c>
      <c r="B56" s="67"/>
      <c r="C56" s="67"/>
      <c r="D56" s="67"/>
      <c r="E56" s="70">
        <f>E10-E54</f>
        <v>1111.3002729999998</v>
      </c>
    </row>
    <row r="58" spans="1:6" x14ac:dyDescent="0.15">
      <c r="A58" t="s">
        <v>54</v>
      </c>
      <c r="B58">
        <v>10</v>
      </c>
      <c r="C58" t="s">
        <v>55</v>
      </c>
      <c r="D58" s="17">
        <f>Operator_Labor</f>
        <v>16.5</v>
      </c>
      <c r="E58" s="17">
        <f>B58*D58</f>
        <v>165</v>
      </c>
    </row>
    <row r="59" spans="1:6" ht="14" thickBot="1" x14ac:dyDescent="0.2">
      <c r="A59" s="1"/>
      <c r="B59" s="1"/>
      <c r="C59" s="1"/>
      <c r="D59" s="1"/>
      <c r="E59" s="1"/>
    </row>
    <row r="60" spans="1:6" ht="14" thickBot="1" x14ac:dyDescent="0.2">
      <c r="A60" s="71" t="s">
        <v>56</v>
      </c>
      <c r="B60" s="1"/>
      <c r="C60" s="1"/>
      <c r="D60" s="1"/>
      <c r="E60" s="72">
        <f>E56-E58</f>
        <v>946.30027299999983</v>
      </c>
    </row>
    <row r="62" spans="1:6" ht="6.75" customHeight="1" x14ac:dyDescent="0.15"/>
    <row r="63" spans="1:6" x14ac:dyDescent="0.15">
      <c r="A63" s="18" t="s">
        <v>75</v>
      </c>
    </row>
    <row r="64" spans="1:6" x14ac:dyDescent="0.15">
      <c r="A64" s="18" t="s">
        <v>266</v>
      </c>
    </row>
    <row r="65" spans="1:1" x14ac:dyDescent="0.15">
      <c r="A65" s="18" t="s">
        <v>239</v>
      </c>
    </row>
    <row r="66" spans="1:1" x14ac:dyDescent="0.15">
      <c r="A66" s="18" t="s">
        <v>240</v>
      </c>
    </row>
    <row r="67" spans="1:1" x14ac:dyDescent="0.15">
      <c r="A67" s="18" t="s">
        <v>256</v>
      </c>
    </row>
    <row r="68" spans="1:1" x14ac:dyDescent="0.15">
      <c r="A68" s="18" t="s">
        <v>275</v>
      </c>
    </row>
    <row r="69" spans="1:1" x14ac:dyDescent="0.15">
      <c r="A69" s="18" t="s">
        <v>210</v>
      </c>
    </row>
    <row r="70" spans="1:1" x14ac:dyDescent="0.15">
      <c r="A70" s="18" t="s">
        <v>220</v>
      </c>
    </row>
    <row r="71" spans="1:1" x14ac:dyDescent="0.15">
      <c r="A71" s="18" t="s">
        <v>332</v>
      </c>
    </row>
  </sheetData>
  <pageMargins left="0.75" right="0.75" top="1" bottom="1" header="0.5" footer="0.5"/>
  <pageSetup scale="73"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L103"/>
  <sheetViews>
    <sheetView zoomScaleNormal="100" workbookViewId="0">
      <selection activeCell="A72" sqref="A72"/>
    </sheetView>
  </sheetViews>
  <sheetFormatPr baseColWidth="10" defaultColWidth="8.83203125" defaultRowHeight="13" x14ac:dyDescent="0.15"/>
  <cols>
    <col min="1" max="1" width="32.5" customWidth="1"/>
    <col min="2" max="2" width="8.1640625" bestFit="1" customWidth="1"/>
    <col min="3" max="3" width="7.33203125" bestFit="1" customWidth="1"/>
    <col min="4" max="4" width="8.1640625" bestFit="1" customWidth="1"/>
    <col min="5" max="5" width="9.1640625" bestFit="1" customWidth="1"/>
    <col min="6" max="6" width="3" customWidth="1"/>
    <col min="11" max="11" width="20.5" bestFit="1" customWidth="1"/>
  </cols>
  <sheetData>
    <row r="1" spans="1:12" ht="16" x14ac:dyDescent="0.2">
      <c r="A1" s="76" t="s">
        <v>150</v>
      </c>
      <c r="I1" s="2"/>
      <c r="J1" s="3"/>
      <c r="L1" s="30"/>
    </row>
    <row r="2" spans="1:12" x14ac:dyDescent="0.15">
      <c r="A2" s="2" t="s">
        <v>255</v>
      </c>
      <c r="G2" s="2"/>
      <c r="K2" s="3"/>
      <c r="L2" s="2"/>
    </row>
    <row r="3" spans="1:12" s="7" customFormat="1" x14ac:dyDescent="0.15">
      <c r="A3" s="6" t="s">
        <v>180</v>
      </c>
    </row>
    <row r="4" spans="1:12" x14ac:dyDescent="0.15">
      <c r="A4" s="59" t="s">
        <v>251</v>
      </c>
    </row>
    <row r="5" spans="1:12" x14ac:dyDescent="0.15">
      <c r="A5" s="59" t="s">
        <v>252</v>
      </c>
    </row>
    <row r="6" spans="1:12" ht="18.75" customHeight="1" x14ac:dyDescent="0.15">
      <c r="B6" s="105" t="s">
        <v>12</v>
      </c>
      <c r="C6" s="105" t="s">
        <v>13</v>
      </c>
      <c r="D6" s="105" t="s">
        <v>14</v>
      </c>
      <c r="E6" s="105" t="s">
        <v>15</v>
      </c>
    </row>
    <row r="7" spans="1:12" x14ac:dyDescent="0.15">
      <c r="A7" s="2" t="s">
        <v>16</v>
      </c>
      <c r="B7" s="88"/>
      <c r="C7" s="87"/>
      <c r="D7" s="90"/>
      <c r="E7" s="87"/>
      <c r="G7" s="2"/>
      <c r="H7" s="3"/>
    </row>
    <row r="8" spans="1:12" x14ac:dyDescent="0.15">
      <c r="A8" t="s">
        <v>151</v>
      </c>
      <c r="B8" s="89">
        <v>250</v>
      </c>
      <c r="C8" s="87" t="s">
        <v>18</v>
      </c>
      <c r="D8" s="90">
        <v>1.25</v>
      </c>
      <c r="E8" s="90">
        <f>B8*D8</f>
        <v>312.5</v>
      </c>
      <c r="F8" s="18" t="s">
        <v>77</v>
      </c>
    </row>
    <row r="9" spans="1:12" x14ac:dyDescent="0.15">
      <c r="B9" s="87"/>
      <c r="C9" s="87"/>
      <c r="D9" s="101"/>
      <c r="E9" s="90">
        <f>B9*D9</f>
        <v>0</v>
      </c>
      <c r="G9" s="3"/>
    </row>
    <row r="10" spans="1:12" ht="15" customHeight="1" x14ac:dyDescent="0.15">
      <c r="A10" t="s">
        <v>61</v>
      </c>
      <c r="B10" s="87"/>
      <c r="C10" s="87"/>
      <c r="D10" s="90"/>
      <c r="E10" s="91">
        <f>SUM(E8:E9)</f>
        <v>312.5</v>
      </c>
    </row>
    <row r="11" spans="1:12" ht="10" customHeight="1" x14ac:dyDescent="0.15">
      <c r="D11" s="17"/>
      <c r="E11" s="19"/>
    </row>
    <row r="12" spans="1:12" x14ac:dyDescent="0.15">
      <c r="A12" s="61"/>
      <c r="B12" s="61"/>
      <c r="C12" s="61"/>
      <c r="D12" s="74"/>
      <c r="E12" s="61"/>
    </row>
    <row r="13" spans="1:12" ht="15" customHeight="1" x14ac:dyDescent="0.15">
      <c r="A13" s="2" t="s">
        <v>20</v>
      </c>
      <c r="D13" s="17"/>
    </row>
    <row r="14" spans="1:12" x14ac:dyDescent="0.15">
      <c r="A14" t="s">
        <v>21</v>
      </c>
      <c r="D14" s="17"/>
    </row>
    <row r="15" spans="1:12" x14ac:dyDescent="0.15">
      <c r="A15" s="3" t="s">
        <v>152</v>
      </c>
      <c r="B15" s="28">
        <v>100</v>
      </c>
      <c r="C15" s="3" t="s">
        <v>86</v>
      </c>
      <c r="D15" s="17">
        <v>0.1</v>
      </c>
      <c r="E15" s="17">
        <f t="shared" ref="E15:E25" si="0">B15*D15</f>
        <v>10</v>
      </c>
      <c r="G15" s="3"/>
    </row>
    <row r="16" spans="1:12" x14ac:dyDescent="0.15">
      <c r="A16" t="s">
        <v>64</v>
      </c>
      <c r="B16">
        <v>1.25</v>
      </c>
      <c r="C16" t="s">
        <v>23</v>
      </c>
      <c r="D16" s="17">
        <v>0.4</v>
      </c>
      <c r="E16" s="17">
        <f t="shared" si="0"/>
        <v>0.5</v>
      </c>
    </row>
    <row r="17" spans="1:7" x14ac:dyDescent="0.15">
      <c r="A17" t="s">
        <v>88</v>
      </c>
      <c r="B17">
        <v>1</v>
      </c>
      <c r="C17" t="s">
        <v>23</v>
      </c>
      <c r="D17" s="17">
        <v>0.6</v>
      </c>
      <c r="E17" s="17">
        <f t="shared" si="0"/>
        <v>0.6</v>
      </c>
    </row>
    <row r="18" spans="1:7" x14ac:dyDescent="0.15">
      <c r="A18" s="3" t="s">
        <v>66</v>
      </c>
      <c r="B18" s="28">
        <v>2</v>
      </c>
      <c r="C18" t="s">
        <v>23</v>
      </c>
      <c r="D18" s="17">
        <v>0.65</v>
      </c>
      <c r="E18" s="17">
        <f t="shared" si="0"/>
        <v>1.3</v>
      </c>
      <c r="F18" t="s">
        <v>98</v>
      </c>
      <c r="G18" s="3"/>
    </row>
    <row r="19" spans="1:7" x14ac:dyDescent="0.15">
      <c r="A19" t="s">
        <v>99</v>
      </c>
      <c r="B19">
        <v>100</v>
      </c>
      <c r="C19" t="s">
        <v>59</v>
      </c>
      <c r="D19" s="17">
        <v>0.1</v>
      </c>
      <c r="E19" s="17">
        <f t="shared" si="0"/>
        <v>10</v>
      </c>
      <c r="F19" s="18" t="s">
        <v>28</v>
      </c>
      <c r="G19" s="3"/>
    </row>
    <row r="20" spans="1:7" x14ac:dyDescent="0.15">
      <c r="A20" t="s">
        <v>91</v>
      </c>
      <c r="B20">
        <v>0.1</v>
      </c>
      <c r="C20" t="s">
        <v>92</v>
      </c>
      <c r="D20" s="26">
        <v>75</v>
      </c>
      <c r="E20" s="17">
        <f t="shared" si="0"/>
        <v>7.5</v>
      </c>
      <c r="F20" t="s">
        <v>131</v>
      </c>
    </row>
    <row r="21" spans="1:7" x14ac:dyDescent="0.15">
      <c r="A21" s="3" t="s">
        <v>31</v>
      </c>
      <c r="B21">
        <v>1</v>
      </c>
      <c r="C21" t="s">
        <v>30</v>
      </c>
      <c r="D21" s="17">
        <f>2*Hired_Labor+0.15</f>
        <v>33.15</v>
      </c>
      <c r="E21" s="17">
        <f t="shared" si="0"/>
        <v>33.15</v>
      </c>
      <c r="F21" s="18" t="s">
        <v>32</v>
      </c>
    </row>
    <row r="22" spans="1:7" x14ac:dyDescent="0.15">
      <c r="A22" t="s">
        <v>33</v>
      </c>
      <c r="B22">
        <v>1</v>
      </c>
      <c r="C22" t="s">
        <v>30</v>
      </c>
      <c r="D22" s="26">
        <f>0.5*Operator_Labor +1.95</f>
        <v>10.199999999999999</v>
      </c>
      <c r="E22" s="17">
        <f t="shared" si="0"/>
        <v>10.199999999999999</v>
      </c>
      <c r="F22" s="18" t="s">
        <v>32</v>
      </c>
      <c r="G22" s="3"/>
    </row>
    <row r="23" spans="1:7" x14ac:dyDescent="0.15">
      <c r="A23" s="3" t="s">
        <v>34</v>
      </c>
      <c r="B23">
        <v>1</v>
      </c>
      <c r="C23" t="s">
        <v>30</v>
      </c>
      <c r="D23" s="26">
        <f>16.12+0.5*Operator_Labor</f>
        <v>24.37</v>
      </c>
      <c r="E23" s="17">
        <f t="shared" si="0"/>
        <v>24.37</v>
      </c>
      <c r="F23" s="18" t="s">
        <v>32</v>
      </c>
    </row>
    <row r="24" spans="1:7" x14ac:dyDescent="0.15">
      <c r="A24" t="s">
        <v>69</v>
      </c>
      <c r="B24">
        <v>2</v>
      </c>
      <c r="C24" t="s">
        <v>55</v>
      </c>
      <c r="D24" s="26">
        <v>0.65</v>
      </c>
      <c r="E24" s="17">
        <f t="shared" si="0"/>
        <v>1.3</v>
      </c>
      <c r="F24" s="18" t="s">
        <v>28</v>
      </c>
    </row>
    <row r="25" spans="1:7" x14ac:dyDescent="0.15">
      <c r="A25" t="s">
        <v>35</v>
      </c>
      <c r="B25" s="62">
        <v>1</v>
      </c>
      <c r="C25" s="62" t="s">
        <v>30</v>
      </c>
      <c r="D25" s="73">
        <v>4.3630000000000004</v>
      </c>
      <c r="E25" s="63">
        <f t="shared" si="0"/>
        <v>4.3630000000000004</v>
      </c>
      <c r="F25" s="18" t="s">
        <v>36</v>
      </c>
    </row>
    <row r="26" spans="1:7" x14ac:dyDescent="0.15">
      <c r="A26" s="2" t="s">
        <v>37</v>
      </c>
      <c r="D26" s="26"/>
      <c r="E26" s="19">
        <f>SUM(E15:E25)</f>
        <v>103.283</v>
      </c>
    </row>
    <row r="27" spans="1:7" x14ac:dyDescent="0.15">
      <c r="D27" s="17"/>
    </row>
    <row r="28" spans="1:7" x14ac:dyDescent="0.15">
      <c r="A28" s="61"/>
      <c r="B28" s="61"/>
      <c r="C28" s="61"/>
      <c r="D28" s="74"/>
      <c r="E28" s="61"/>
    </row>
    <row r="29" spans="1:7" ht="15" customHeight="1" x14ac:dyDescent="0.15">
      <c r="A29" s="2" t="s">
        <v>38</v>
      </c>
      <c r="D29" s="17"/>
    </row>
    <row r="30" spans="1:7" x14ac:dyDescent="0.15">
      <c r="A30" t="s">
        <v>292</v>
      </c>
      <c r="B30">
        <v>0.5</v>
      </c>
      <c r="C30" t="s">
        <v>71</v>
      </c>
      <c r="D30" s="17">
        <f>Hired_Labor</f>
        <v>16.5</v>
      </c>
      <c r="E30" s="17">
        <f>B30*D30</f>
        <v>8.25</v>
      </c>
    </row>
    <row r="31" spans="1:7" x14ac:dyDescent="0.15">
      <c r="A31" t="s">
        <v>297</v>
      </c>
      <c r="D31" s="17"/>
    </row>
    <row r="32" spans="1:7" x14ac:dyDescent="0.15">
      <c r="A32" s="3" t="s">
        <v>315</v>
      </c>
      <c r="B32" s="22">
        <v>12</v>
      </c>
      <c r="C32" s="3" t="s">
        <v>101</v>
      </c>
      <c r="D32" s="17">
        <v>1.3</v>
      </c>
      <c r="E32" s="17">
        <f>B32*D32</f>
        <v>15.600000000000001</v>
      </c>
      <c r="F32" s="18" t="s">
        <v>72</v>
      </c>
      <c r="G32" s="3"/>
    </row>
    <row r="33" spans="1:7" x14ac:dyDescent="0.15">
      <c r="A33" s="3" t="s">
        <v>316</v>
      </c>
      <c r="B33" s="22">
        <v>12</v>
      </c>
      <c r="C33" s="3" t="s">
        <v>101</v>
      </c>
      <c r="D33" s="17">
        <v>1.6</v>
      </c>
      <c r="E33" s="17">
        <f>B33*D33</f>
        <v>19.200000000000003</v>
      </c>
      <c r="F33" s="18" t="s">
        <v>72</v>
      </c>
      <c r="G33" s="3"/>
    </row>
    <row r="34" spans="1:7" x14ac:dyDescent="0.15">
      <c r="A34" s="3" t="s">
        <v>295</v>
      </c>
      <c r="B34" s="18">
        <v>12</v>
      </c>
      <c r="C34" s="3" t="s">
        <v>40</v>
      </c>
      <c r="D34" s="17">
        <v>1.6</v>
      </c>
      <c r="E34" s="17">
        <f>B34*D34</f>
        <v>19.200000000000003</v>
      </c>
      <c r="F34" s="18"/>
      <c r="G34" s="3"/>
    </row>
    <row r="35" spans="1:7" x14ac:dyDescent="0.15">
      <c r="A35" t="s">
        <v>125</v>
      </c>
      <c r="B35" s="38">
        <f>Marketing_Pct</f>
        <v>0.1</v>
      </c>
      <c r="C35" t="s">
        <v>41</v>
      </c>
      <c r="D35" s="17"/>
      <c r="E35" s="17">
        <f>B35*E10</f>
        <v>31.25</v>
      </c>
    </row>
    <row r="36" spans="1:7" x14ac:dyDescent="0.15">
      <c r="A36" t="s">
        <v>73</v>
      </c>
      <c r="B36" s="85">
        <v>1</v>
      </c>
      <c r="C36" s="65" t="s">
        <v>30</v>
      </c>
      <c r="D36" s="63">
        <v>0</v>
      </c>
      <c r="E36" s="63">
        <f>B36*D36</f>
        <v>0</v>
      </c>
      <c r="F36" s="18"/>
    </row>
    <row r="37" spans="1:7" x14ac:dyDescent="0.15">
      <c r="A37" s="2" t="s">
        <v>42</v>
      </c>
      <c r="E37" s="19">
        <f>SUM(E30:E36)</f>
        <v>93.5</v>
      </c>
    </row>
    <row r="39" spans="1:7" x14ac:dyDescent="0.15">
      <c r="A39" t="s">
        <v>43</v>
      </c>
      <c r="E39" s="24">
        <f>(Interest_Pct*0.5*E26)+(Interest_Pct*0.25*E37)</f>
        <v>4.5009899999999998</v>
      </c>
    </row>
    <row r="41" spans="1:7" x14ac:dyDescent="0.15">
      <c r="A41" s="2" t="s">
        <v>44</v>
      </c>
      <c r="B41" s="2"/>
      <c r="C41" s="2"/>
      <c r="D41" s="2"/>
      <c r="E41" s="19">
        <f>SUM(E26+E37+E39)</f>
        <v>201.28399000000002</v>
      </c>
    </row>
    <row r="43" spans="1:7" x14ac:dyDescent="0.15">
      <c r="A43" s="66" t="s">
        <v>45</v>
      </c>
      <c r="B43" s="67"/>
      <c r="C43" s="67"/>
      <c r="D43" s="67"/>
      <c r="E43" s="68">
        <f>E10-E41</f>
        <v>111.21600999999998</v>
      </c>
    </row>
    <row r="44" spans="1:7" x14ac:dyDescent="0.15">
      <c r="A44" s="2"/>
      <c r="E44" s="19"/>
    </row>
    <row r="45" spans="1:7" x14ac:dyDescent="0.15">
      <c r="A45" s="61"/>
      <c r="B45" s="61"/>
      <c r="C45" s="61"/>
      <c r="D45" s="61"/>
      <c r="E45" s="61"/>
    </row>
    <row r="46" spans="1:7" ht="15" customHeight="1" x14ac:dyDescent="0.15">
      <c r="A46" s="2" t="s">
        <v>46</v>
      </c>
    </row>
    <row r="47" spans="1:7" x14ac:dyDescent="0.15">
      <c r="A47" t="s">
        <v>47</v>
      </c>
      <c r="E47" s="17">
        <v>9.8699999999999992</v>
      </c>
      <c r="F47" s="18" t="s">
        <v>36</v>
      </c>
    </row>
    <row r="48" spans="1:7" x14ac:dyDescent="0.15">
      <c r="A48" t="s">
        <v>48</v>
      </c>
      <c r="E48" s="17">
        <f>328.4*0.02</f>
        <v>6.5679999999999996</v>
      </c>
      <c r="F48" t="s">
        <v>28</v>
      </c>
    </row>
    <row r="49" spans="1:5" x14ac:dyDescent="0.15">
      <c r="A49" t="s">
        <v>49</v>
      </c>
      <c r="E49" s="17">
        <v>1</v>
      </c>
    </row>
    <row r="50" spans="1:5" x14ac:dyDescent="0.15">
      <c r="A50" t="s">
        <v>50</v>
      </c>
      <c r="B50" s="62"/>
      <c r="C50" s="62"/>
      <c r="D50" s="62"/>
      <c r="E50" s="63">
        <f>0.01*E41</f>
        <v>2.0128399000000003</v>
      </c>
    </row>
    <row r="52" spans="1:5" x14ac:dyDescent="0.15">
      <c r="A52" s="2" t="s">
        <v>51</v>
      </c>
      <c r="E52" s="25">
        <f>SUM(E47:E51)</f>
        <v>19.450839899999998</v>
      </c>
    </row>
    <row r="54" spans="1:5" x14ac:dyDescent="0.15">
      <c r="A54" s="2" t="s">
        <v>52</v>
      </c>
      <c r="E54" s="19">
        <f>E41+E52</f>
        <v>220.73482990000002</v>
      </c>
    </row>
    <row r="56" spans="1:5" x14ac:dyDescent="0.15">
      <c r="A56" s="67" t="s">
        <v>53</v>
      </c>
      <c r="B56" s="67"/>
      <c r="C56" s="67"/>
      <c r="D56" s="67"/>
      <c r="E56" s="70">
        <f>E10-E54</f>
        <v>91.765170099999978</v>
      </c>
    </row>
    <row r="58" spans="1:5" x14ac:dyDescent="0.15">
      <c r="A58" t="s">
        <v>54</v>
      </c>
      <c r="B58">
        <v>2</v>
      </c>
      <c r="C58" t="s">
        <v>55</v>
      </c>
      <c r="D58" s="17">
        <f>Operator_Labor</f>
        <v>16.5</v>
      </c>
      <c r="E58" s="17">
        <f>B58*D58</f>
        <v>33</v>
      </c>
    </row>
    <row r="59" spans="1:5" ht="14" thickBot="1" x14ac:dyDescent="0.2">
      <c r="A59" s="1"/>
      <c r="B59" s="1"/>
      <c r="C59" s="1"/>
      <c r="D59" s="1"/>
      <c r="E59" s="1"/>
    </row>
    <row r="60" spans="1:5" ht="14" thickBot="1" x14ac:dyDescent="0.2">
      <c r="A60" s="71" t="s">
        <v>56</v>
      </c>
      <c r="B60" s="1"/>
      <c r="C60" s="1"/>
      <c r="D60" s="1"/>
      <c r="E60" s="72">
        <f>E56-E58</f>
        <v>58.765170099999978</v>
      </c>
    </row>
    <row r="62" spans="1:5" ht="13" hidden="1" customHeight="1" x14ac:dyDescent="0.15"/>
    <row r="63" spans="1:5" x14ac:dyDescent="0.15">
      <c r="A63" s="18" t="s">
        <v>153</v>
      </c>
    </row>
    <row r="64" spans="1:5" x14ac:dyDescent="0.15">
      <c r="A64" s="18" t="s">
        <v>241</v>
      </c>
    </row>
    <row r="65" spans="1:1" x14ac:dyDescent="0.15">
      <c r="A65" s="18" t="s">
        <v>276</v>
      </c>
    </row>
    <row r="66" spans="1:1" x14ac:dyDescent="0.15">
      <c r="A66" s="18" t="s">
        <v>242</v>
      </c>
    </row>
    <row r="67" spans="1:1" x14ac:dyDescent="0.15">
      <c r="A67" s="18" t="s">
        <v>238</v>
      </c>
    </row>
    <row r="68" spans="1:1" x14ac:dyDescent="0.15">
      <c r="A68" s="18" t="s">
        <v>256</v>
      </c>
    </row>
    <row r="69" spans="1:1" x14ac:dyDescent="0.15">
      <c r="A69" s="18" t="s">
        <v>275</v>
      </c>
    </row>
    <row r="70" spans="1:1" x14ac:dyDescent="0.15">
      <c r="A70" s="18" t="s">
        <v>210</v>
      </c>
    </row>
    <row r="71" spans="1:1" x14ac:dyDescent="0.15">
      <c r="A71" s="18" t="s">
        <v>220</v>
      </c>
    </row>
    <row r="72" spans="1:1" x14ac:dyDescent="0.15">
      <c r="A72" s="18" t="s">
        <v>332</v>
      </c>
    </row>
    <row r="101" spans="1:1" x14ac:dyDescent="0.15">
      <c r="A101" s="2"/>
    </row>
    <row r="102" spans="1:1" x14ac:dyDescent="0.15">
      <c r="A102" s="3"/>
    </row>
    <row r="103" spans="1:1" x14ac:dyDescent="0.15">
      <c r="A103" s="3"/>
    </row>
  </sheetData>
  <pageMargins left="0.75" right="0.75" top="1" bottom="1" header="0.5" footer="0.5"/>
  <pageSetup scale="77"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G62"/>
  <sheetViews>
    <sheetView workbookViewId="0">
      <selection activeCell="E9" sqref="E9"/>
    </sheetView>
  </sheetViews>
  <sheetFormatPr baseColWidth="10" defaultColWidth="8.83203125" defaultRowHeight="13" x14ac:dyDescent="0.15"/>
  <cols>
    <col min="1" max="1" width="30.1640625" customWidth="1"/>
    <col min="2" max="2" width="8.1640625" bestFit="1" customWidth="1"/>
    <col min="3" max="3" width="6.33203125" bestFit="1" customWidth="1"/>
    <col min="4" max="4" width="8.1640625" bestFit="1" customWidth="1"/>
    <col min="5" max="5" width="9.1640625" bestFit="1" customWidth="1"/>
    <col min="6" max="6" width="3.5" bestFit="1" customWidth="1"/>
  </cols>
  <sheetData>
    <row r="1" spans="1:6" ht="16" x14ac:dyDescent="0.2">
      <c r="A1" s="76" t="s">
        <v>154</v>
      </c>
    </row>
    <row r="2" spans="1:6" x14ac:dyDescent="0.15">
      <c r="A2" s="2" t="s">
        <v>255</v>
      </c>
    </row>
    <row r="3" spans="1:6" x14ac:dyDescent="0.15">
      <c r="A3" s="2" t="s">
        <v>201</v>
      </c>
    </row>
    <row r="4" spans="1:6" x14ac:dyDescent="0.15">
      <c r="A4" s="59" t="s">
        <v>251</v>
      </c>
    </row>
    <row r="5" spans="1:6" x14ac:dyDescent="0.15">
      <c r="A5" s="59" t="s">
        <v>252</v>
      </c>
    </row>
    <row r="6" spans="1:6" ht="18.75" customHeight="1" x14ac:dyDescent="0.15">
      <c r="B6" s="105" t="s">
        <v>12</v>
      </c>
      <c r="C6" s="105" t="s">
        <v>13</v>
      </c>
      <c r="D6" s="105" t="s">
        <v>14</v>
      </c>
      <c r="E6" s="105" t="s">
        <v>15</v>
      </c>
    </row>
    <row r="7" spans="1:6" x14ac:dyDescent="0.15">
      <c r="A7" s="2" t="s">
        <v>16</v>
      </c>
      <c r="B7" s="87"/>
      <c r="C7" s="87"/>
      <c r="D7" s="87"/>
      <c r="E7" s="87"/>
    </row>
    <row r="8" spans="1:6" x14ac:dyDescent="0.15">
      <c r="A8" t="s">
        <v>155</v>
      </c>
      <c r="B8" s="92">
        <v>160</v>
      </c>
      <c r="C8" s="87" t="s">
        <v>156</v>
      </c>
      <c r="D8" s="90">
        <v>5</v>
      </c>
      <c r="E8" s="24">
        <f>B8*D8</f>
        <v>800</v>
      </c>
      <c r="F8" s="18" t="s">
        <v>77</v>
      </c>
    </row>
    <row r="9" spans="1:6" x14ac:dyDescent="0.15">
      <c r="B9" s="92"/>
      <c r="C9" s="87"/>
      <c r="D9" s="90"/>
      <c r="E9" s="24">
        <f>B9*D9</f>
        <v>0</v>
      </c>
      <c r="F9" s="18"/>
    </row>
    <row r="10" spans="1:6" x14ac:dyDescent="0.15">
      <c r="A10" t="s">
        <v>61</v>
      </c>
      <c r="B10" s="87"/>
      <c r="C10" s="87"/>
      <c r="D10" s="90"/>
      <c r="E10" s="90">
        <f>SUM(E8:E9)</f>
        <v>800</v>
      </c>
      <c r="F10" s="18"/>
    </row>
    <row r="12" spans="1:6" x14ac:dyDescent="0.15">
      <c r="A12" s="61"/>
      <c r="B12" s="61"/>
      <c r="C12" s="61"/>
      <c r="D12" s="61"/>
      <c r="E12" s="61"/>
    </row>
    <row r="13" spans="1:6" ht="14" customHeight="1" x14ac:dyDescent="0.15">
      <c r="A13" s="2" t="s">
        <v>20</v>
      </c>
    </row>
    <row r="14" spans="1:6" x14ac:dyDescent="0.15">
      <c r="A14" t="s">
        <v>21</v>
      </c>
    </row>
    <row r="15" spans="1:6" x14ac:dyDescent="0.15">
      <c r="A15" t="s">
        <v>25</v>
      </c>
      <c r="B15">
        <v>1.5</v>
      </c>
      <c r="C15" t="s">
        <v>157</v>
      </c>
      <c r="D15" s="17">
        <v>12</v>
      </c>
      <c r="E15" s="17">
        <f t="shared" ref="E15:E22" si="0">B15*D15</f>
        <v>18</v>
      </c>
      <c r="F15" s="3" t="s">
        <v>28</v>
      </c>
    </row>
    <row r="16" spans="1:6" x14ac:dyDescent="0.15">
      <c r="A16" t="s">
        <v>158</v>
      </c>
      <c r="B16">
        <v>20</v>
      </c>
      <c r="C16" t="s">
        <v>23</v>
      </c>
      <c r="D16" s="17">
        <v>0.4</v>
      </c>
      <c r="E16" s="17">
        <f t="shared" si="0"/>
        <v>8</v>
      </c>
    </row>
    <row r="17" spans="1:7" x14ac:dyDescent="0.15">
      <c r="A17" t="s">
        <v>159</v>
      </c>
      <c r="B17">
        <v>10</v>
      </c>
      <c r="C17" t="s">
        <v>23</v>
      </c>
      <c r="D17" s="17">
        <v>0.35</v>
      </c>
      <c r="E17" s="17">
        <f t="shared" si="0"/>
        <v>3.5</v>
      </c>
    </row>
    <row r="18" spans="1:7" x14ac:dyDescent="0.15">
      <c r="A18" t="s">
        <v>160</v>
      </c>
      <c r="B18">
        <v>15</v>
      </c>
      <c r="C18" t="s">
        <v>23</v>
      </c>
      <c r="D18" s="17">
        <v>0.52</v>
      </c>
      <c r="E18" s="17">
        <f t="shared" si="0"/>
        <v>7.8000000000000007</v>
      </c>
    </row>
    <row r="19" spans="1:7" x14ac:dyDescent="0.15">
      <c r="A19" s="3" t="s">
        <v>31</v>
      </c>
      <c r="B19">
        <v>1</v>
      </c>
      <c r="C19" s="3" t="s">
        <v>90</v>
      </c>
      <c r="D19" s="17">
        <f>1.87+Hired_Labor*2</f>
        <v>34.869999999999997</v>
      </c>
      <c r="E19" s="17">
        <f t="shared" si="0"/>
        <v>34.869999999999997</v>
      </c>
      <c r="F19" s="18" t="s">
        <v>32</v>
      </c>
      <c r="G19" s="3"/>
    </row>
    <row r="20" spans="1:7" x14ac:dyDescent="0.15">
      <c r="A20" s="3" t="s">
        <v>33</v>
      </c>
      <c r="B20">
        <v>1</v>
      </c>
      <c r="C20" s="3" t="s">
        <v>90</v>
      </c>
      <c r="D20" s="17">
        <f>7.33+Operator_Labor</f>
        <v>23.83</v>
      </c>
      <c r="E20" s="17">
        <f t="shared" si="0"/>
        <v>23.83</v>
      </c>
      <c r="F20" s="18" t="s">
        <v>32</v>
      </c>
      <c r="G20" s="3"/>
    </row>
    <row r="21" spans="1:7" x14ac:dyDescent="0.15">
      <c r="A21" s="3" t="s">
        <v>34</v>
      </c>
      <c r="B21">
        <v>1</v>
      </c>
      <c r="C21" s="3" t="s">
        <v>90</v>
      </c>
      <c r="D21" s="17">
        <f>4.91+Operator_Labor</f>
        <v>21.41</v>
      </c>
      <c r="E21" s="17">
        <f t="shared" si="0"/>
        <v>21.41</v>
      </c>
      <c r="F21" s="18" t="s">
        <v>32</v>
      </c>
      <c r="G21" s="3"/>
    </row>
    <row r="22" spans="1:7" x14ac:dyDescent="0.15">
      <c r="A22" t="s">
        <v>35</v>
      </c>
      <c r="B22" s="62">
        <v>1</v>
      </c>
      <c r="C22" s="62" t="s">
        <v>90</v>
      </c>
      <c r="D22" s="63">
        <v>11.88</v>
      </c>
      <c r="E22" s="63">
        <f t="shared" si="0"/>
        <v>11.88</v>
      </c>
      <c r="F22" s="18" t="s">
        <v>36</v>
      </c>
    </row>
    <row r="23" spans="1:7" x14ac:dyDescent="0.15">
      <c r="A23" s="2" t="s">
        <v>37</v>
      </c>
      <c r="E23" s="19">
        <f>SUM(E15:E22)</f>
        <v>129.29</v>
      </c>
    </row>
    <row r="25" spans="1:7" x14ac:dyDescent="0.15">
      <c r="A25" s="61"/>
      <c r="B25" s="61"/>
      <c r="C25" s="61"/>
      <c r="D25" s="61"/>
      <c r="E25" s="61"/>
    </row>
    <row r="26" spans="1:7" ht="14" customHeight="1" x14ac:dyDescent="0.15">
      <c r="A26" s="2" t="s">
        <v>38</v>
      </c>
    </row>
    <row r="27" spans="1:7" x14ac:dyDescent="0.15">
      <c r="A27" t="s">
        <v>317</v>
      </c>
      <c r="B27">
        <v>32</v>
      </c>
      <c r="C27" t="s">
        <v>161</v>
      </c>
      <c r="D27" s="17">
        <v>1.6</v>
      </c>
      <c r="E27" s="17">
        <f>B27*D27</f>
        <v>51.2</v>
      </c>
    </row>
    <row r="28" spans="1:7" x14ac:dyDescent="0.15">
      <c r="A28" t="s">
        <v>297</v>
      </c>
      <c r="D28" s="17"/>
    </row>
    <row r="29" spans="1:7" x14ac:dyDescent="0.15">
      <c r="A29" t="s">
        <v>318</v>
      </c>
      <c r="B29" s="17">
        <v>2.65</v>
      </c>
      <c r="C29" t="s">
        <v>162</v>
      </c>
      <c r="D29" s="17"/>
      <c r="E29" s="17">
        <f>B8*B29</f>
        <v>424</v>
      </c>
      <c r="F29" s="18" t="s">
        <v>72</v>
      </c>
    </row>
    <row r="30" spans="1:7" x14ac:dyDescent="0.15">
      <c r="A30" t="s">
        <v>319</v>
      </c>
      <c r="B30" s="39">
        <v>2.5</v>
      </c>
      <c r="C30" t="s">
        <v>39</v>
      </c>
      <c r="D30" s="17">
        <f>Hired_Labor</f>
        <v>16.5</v>
      </c>
      <c r="E30" s="17">
        <f>B30*D30</f>
        <v>41.25</v>
      </c>
    </row>
    <row r="31" spans="1:7" x14ac:dyDescent="0.15">
      <c r="A31" t="s">
        <v>125</v>
      </c>
      <c r="B31" s="83">
        <f>Marketing_Pct</f>
        <v>0.1</v>
      </c>
      <c r="C31" s="62" t="s">
        <v>41</v>
      </c>
      <c r="D31" s="63"/>
      <c r="E31" s="63">
        <f>B31*E10</f>
        <v>80</v>
      </c>
    </row>
    <row r="32" spans="1:7" x14ac:dyDescent="0.15">
      <c r="A32" s="2" t="s">
        <v>42</v>
      </c>
      <c r="E32" s="19">
        <f>SUM(E27:E31)</f>
        <v>596.45000000000005</v>
      </c>
    </row>
    <row r="34" spans="1:6" x14ac:dyDescent="0.15">
      <c r="A34" t="s">
        <v>43</v>
      </c>
      <c r="E34" s="24">
        <f>(Interest_Pct*0.5*E23)+(Interest_Pct*0.25*E32)</f>
        <v>12.82545</v>
      </c>
    </row>
    <row r="36" spans="1:6" x14ac:dyDescent="0.15">
      <c r="A36" s="2" t="s">
        <v>44</v>
      </c>
      <c r="B36" s="2"/>
      <c r="C36" s="2"/>
      <c r="D36" s="2"/>
      <c r="E36" s="19">
        <f>SUM(E23+E32+E34)</f>
        <v>738.56545000000006</v>
      </c>
    </row>
    <row r="38" spans="1:6" x14ac:dyDescent="0.15">
      <c r="A38" s="66" t="s">
        <v>45</v>
      </c>
      <c r="B38" s="67"/>
      <c r="C38" s="67"/>
      <c r="D38" s="67"/>
      <c r="E38" s="68">
        <f>E10-E36</f>
        <v>61.434549999999945</v>
      </c>
    </row>
    <row r="40" spans="1:6" x14ac:dyDescent="0.15">
      <c r="A40" s="61"/>
      <c r="B40" s="61"/>
      <c r="C40" s="61"/>
      <c r="D40" s="61"/>
      <c r="E40" s="61"/>
    </row>
    <row r="41" spans="1:6" x14ac:dyDescent="0.15">
      <c r="A41" s="2" t="s">
        <v>46</v>
      </c>
    </row>
    <row r="42" spans="1:6" x14ac:dyDescent="0.15">
      <c r="A42" t="s">
        <v>47</v>
      </c>
      <c r="E42" s="17">
        <v>10.93</v>
      </c>
      <c r="F42" s="18" t="s">
        <v>36</v>
      </c>
    </row>
    <row r="43" spans="1:6" x14ac:dyDescent="0.15">
      <c r="A43" t="s">
        <v>49</v>
      </c>
      <c r="E43" s="17">
        <v>1</v>
      </c>
    </row>
    <row r="44" spans="1:6" x14ac:dyDescent="0.15">
      <c r="A44" t="s">
        <v>50</v>
      </c>
      <c r="B44" s="62"/>
      <c r="C44" s="62"/>
      <c r="D44" s="62"/>
      <c r="E44" s="63">
        <f>0.015*E10</f>
        <v>12</v>
      </c>
    </row>
    <row r="45" spans="1:6" x14ac:dyDescent="0.15">
      <c r="A45" s="2" t="s">
        <v>51</v>
      </c>
      <c r="E45" s="25">
        <f>SUM(E42:E44)</f>
        <v>23.93</v>
      </c>
    </row>
    <row r="47" spans="1:6" x14ac:dyDescent="0.15">
      <c r="A47" s="2" t="s">
        <v>52</v>
      </c>
      <c r="E47" s="19">
        <f>E36+E45</f>
        <v>762.49545000000001</v>
      </c>
    </row>
    <row r="49" spans="1:5" x14ac:dyDescent="0.15">
      <c r="A49" s="67" t="s">
        <v>53</v>
      </c>
      <c r="B49" s="67"/>
      <c r="C49" s="67"/>
      <c r="D49" s="67"/>
      <c r="E49" s="70">
        <f>E10-E47</f>
        <v>37.504549999999995</v>
      </c>
    </row>
    <row r="51" spans="1:5" x14ac:dyDescent="0.15">
      <c r="A51" t="s">
        <v>54</v>
      </c>
      <c r="B51">
        <v>10</v>
      </c>
      <c r="C51" t="s">
        <v>55</v>
      </c>
      <c r="D51" s="17">
        <f>Operator_Labor</f>
        <v>16.5</v>
      </c>
      <c r="E51" s="17">
        <f>B51*D51</f>
        <v>165</v>
      </c>
    </row>
    <row r="52" spans="1:5" ht="14" thickBot="1" x14ac:dyDescent="0.2">
      <c r="A52" s="1"/>
      <c r="B52" s="1"/>
      <c r="C52" s="1"/>
      <c r="D52" s="1"/>
      <c r="E52" s="1"/>
    </row>
    <row r="53" spans="1:5" ht="14" thickBot="1" x14ac:dyDescent="0.2">
      <c r="A53" s="71" t="s">
        <v>56</v>
      </c>
      <c r="B53" s="1"/>
      <c r="C53" s="1"/>
      <c r="D53" s="1"/>
      <c r="E53" s="72">
        <f>E49-E51</f>
        <v>-127.49545000000001</v>
      </c>
    </row>
    <row r="55" spans="1:5" hidden="1" x14ac:dyDescent="0.15">
      <c r="A55" s="18"/>
    </row>
    <row r="56" spans="1:5" x14ac:dyDescent="0.15">
      <c r="A56" s="18" t="s">
        <v>218</v>
      </c>
    </row>
    <row r="57" spans="1:5" x14ac:dyDescent="0.15">
      <c r="A57" s="18" t="s">
        <v>277</v>
      </c>
    </row>
    <row r="58" spans="1:5" x14ac:dyDescent="0.15">
      <c r="A58" s="18" t="s">
        <v>221</v>
      </c>
    </row>
    <row r="59" spans="1:5" x14ac:dyDescent="0.15">
      <c r="A59" s="18" t="s">
        <v>256</v>
      </c>
    </row>
    <row r="60" spans="1:5" x14ac:dyDescent="0.15">
      <c r="A60" s="18" t="s">
        <v>275</v>
      </c>
    </row>
    <row r="61" spans="1:5" x14ac:dyDescent="0.15">
      <c r="A61" s="18" t="s">
        <v>278</v>
      </c>
    </row>
    <row r="62" spans="1:5" x14ac:dyDescent="0.15">
      <c r="A62" s="18" t="s">
        <v>279</v>
      </c>
    </row>
  </sheetData>
  <pageMargins left="0.75" right="0.75" top="1" bottom="1" header="0.5" footer="0.5"/>
  <pageSetup scale="85"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F65"/>
  <sheetViews>
    <sheetView zoomScaleNormal="100" workbookViewId="0">
      <selection activeCell="A3" sqref="A3"/>
    </sheetView>
  </sheetViews>
  <sheetFormatPr baseColWidth="10" defaultColWidth="8.83203125" defaultRowHeight="13" x14ac:dyDescent="0.15"/>
  <cols>
    <col min="1" max="1" width="30.6640625" customWidth="1"/>
    <col min="2" max="2" width="8.1640625" bestFit="1" customWidth="1"/>
    <col min="3" max="3" width="8.83203125" bestFit="1" customWidth="1"/>
    <col min="4" max="4" width="8.1640625" bestFit="1" customWidth="1"/>
    <col min="5" max="5" width="10.83203125" bestFit="1" customWidth="1"/>
    <col min="6" max="6" width="3" customWidth="1"/>
  </cols>
  <sheetData>
    <row r="1" spans="1:6" ht="16" x14ac:dyDescent="0.2">
      <c r="A1" s="76" t="s">
        <v>181</v>
      </c>
    </row>
    <row r="2" spans="1:6" x14ac:dyDescent="0.15">
      <c r="A2" s="2" t="s">
        <v>255</v>
      </c>
    </row>
    <row r="3" spans="1:6" x14ac:dyDescent="0.15">
      <c r="A3" s="2" t="s">
        <v>330</v>
      </c>
    </row>
    <row r="4" spans="1:6" x14ac:dyDescent="0.15">
      <c r="A4" s="59" t="s">
        <v>251</v>
      </c>
    </row>
    <row r="5" spans="1:6" x14ac:dyDescent="0.15">
      <c r="A5" s="59" t="s">
        <v>252</v>
      </c>
    </row>
    <row r="6" spans="1:6" ht="18.75" customHeight="1" x14ac:dyDescent="0.15">
      <c r="B6" s="105" t="s">
        <v>12</v>
      </c>
      <c r="C6" s="105" t="s">
        <v>13</v>
      </c>
      <c r="D6" s="105" t="s">
        <v>14</v>
      </c>
      <c r="E6" s="105" t="s">
        <v>15</v>
      </c>
    </row>
    <row r="7" spans="1:6" x14ac:dyDescent="0.15">
      <c r="A7" s="2" t="s">
        <v>16</v>
      </c>
      <c r="B7" s="87"/>
      <c r="C7" s="87"/>
      <c r="D7" s="87"/>
      <c r="E7" s="87"/>
    </row>
    <row r="8" spans="1:6" x14ac:dyDescent="0.15">
      <c r="A8" t="s">
        <v>182</v>
      </c>
      <c r="B8" s="87">
        <v>32</v>
      </c>
      <c r="C8" s="87" t="s">
        <v>101</v>
      </c>
      <c r="D8" s="90">
        <v>40</v>
      </c>
      <c r="E8" s="90">
        <f>B8*D8</f>
        <v>1280</v>
      </c>
      <c r="F8" s="3" t="s">
        <v>77</v>
      </c>
    </row>
    <row r="9" spans="1:6" x14ac:dyDescent="0.15">
      <c r="A9" t="s">
        <v>183</v>
      </c>
      <c r="B9" s="87">
        <v>18</v>
      </c>
      <c r="C9" s="87" t="s">
        <v>101</v>
      </c>
      <c r="D9" s="90">
        <v>20</v>
      </c>
      <c r="E9" s="90">
        <f>B9*D9</f>
        <v>360</v>
      </c>
      <c r="F9" s="3" t="s">
        <v>77</v>
      </c>
    </row>
    <row r="10" spans="1:6" x14ac:dyDescent="0.15">
      <c r="A10" s="2" t="s">
        <v>202</v>
      </c>
      <c r="B10" s="92">
        <f>B8+B9</f>
        <v>50</v>
      </c>
      <c r="C10" s="87" t="s">
        <v>40</v>
      </c>
      <c r="D10" s="90"/>
      <c r="E10" s="93">
        <f>E8+E9</f>
        <v>1640</v>
      </c>
      <c r="F10" s="18"/>
    </row>
    <row r="12" spans="1:6" x14ac:dyDescent="0.15">
      <c r="A12" s="61"/>
      <c r="B12" s="61"/>
      <c r="C12" s="61"/>
      <c r="D12" s="61"/>
      <c r="E12" s="61"/>
    </row>
    <row r="13" spans="1:6" ht="15" customHeight="1" x14ac:dyDescent="0.15">
      <c r="A13" s="2" t="s">
        <v>20</v>
      </c>
    </row>
    <row r="14" spans="1:6" x14ac:dyDescent="0.15">
      <c r="A14" t="s">
        <v>21</v>
      </c>
    </row>
    <row r="15" spans="1:6" x14ac:dyDescent="0.15">
      <c r="A15" t="s">
        <v>184</v>
      </c>
      <c r="B15">
        <v>1</v>
      </c>
      <c r="C15" t="s">
        <v>90</v>
      </c>
      <c r="D15" s="17">
        <v>2</v>
      </c>
      <c r="E15" s="17">
        <f>B15*D15</f>
        <v>2</v>
      </c>
    </row>
    <row r="16" spans="1:6" x14ac:dyDescent="0.15">
      <c r="A16" t="s">
        <v>137</v>
      </c>
      <c r="B16">
        <v>1</v>
      </c>
      <c r="C16" t="s">
        <v>104</v>
      </c>
      <c r="D16" s="17">
        <v>50</v>
      </c>
      <c r="E16" s="17">
        <f>B16*D16</f>
        <v>50</v>
      </c>
    </row>
    <row r="17" spans="1:6" x14ac:dyDescent="0.15">
      <c r="A17" t="s">
        <v>185</v>
      </c>
      <c r="B17">
        <v>1.6</v>
      </c>
      <c r="C17" t="s">
        <v>186</v>
      </c>
      <c r="D17" s="17">
        <v>60</v>
      </c>
      <c r="E17" s="17">
        <f>B17*D17</f>
        <v>96</v>
      </c>
    </row>
    <row r="18" spans="1:6" x14ac:dyDescent="0.15">
      <c r="A18" t="s">
        <v>65</v>
      </c>
      <c r="B18">
        <v>6</v>
      </c>
      <c r="C18" t="s">
        <v>23</v>
      </c>
      <c r="D18" s="17">
        <v>2</v>
      </c>
      <c r="E18" s="17">
        <f>B18*D18</f>
        <v>12</v>
      </c>
    </row>
    <row r="19" spans="1:6" x14ac:dyDescent="0.15">
      <c r="A19" t="s">
        <v>120</v>
      </c>
      <c r="B19">
        <v>1</v>
      </c>
      <c r="C19" t="s">
        <v>39</v>
      </c>
      <c r="D19" s="17">
        <f>Hired_Labor</f>
        <v>16.5</v>
      </c>
      <c r="E19" s="17">
        <f t="shared" ref="E19:E24" si="0">B19*D19</f>
        <v>16.5</v>
      </c>
    </row>
    <row r="20" spans="1:6" x14ac:dyDescent="0.15">
      <c r="A20" t="s">
        <v>31</v>
      </c>
      <c r="B20">
        <v>1</v>
      </c>
      <c r="C20" t="s">
        <v>90</v>
      </c>
      <c r="D20" s="17">
        <f>4.19+Hired_Labor</f>
        <v>20.69</v>
      </c>
      <c r="E20" s="17">
        <f t="shared" si="0"/>
        <v>20.69</v>
      </c>
      <c r="F20" s="18" t="s">
        <v>32</v>
      </c>
    </row>
    <row r="21" spans="1:6" x14ac:dyDescent="0.15">
      <c r="A21" t="s">
        <v>33</v>
      </c>
      <c r="B21">
        <v>1</v>
      </c>
      <c r="C21" t="s">
        <v>90</v>
      </c>
      <c r="D21" s="17">
        <f>5.23+Operator_Labor</f>
        <v>21.73</v>
      </c>
      <c r="E21" s="17">
        <f t="shared" si="0"/>
        <v>21.73</v>
      </c>
      <c r="F21" s="18" t="s">
        <v>32</v>
      </c>
    </row>
    <row r="22" spans="1:6" x14ac:dyDescent="0.15">
      <c r="A22" t="s">
        <v>34</v>
      </c>
      <c r="B22">
        <v>1</v>
      </c>
      <c r="C22" t="s">
        <v>90</v>
      </c>
      <c r="D22" s="17">
        <f>16.79+Operator_Labor</f>
        <v>33.29</v>
      </c>
      <c r="E22" s="17">
        <f t="shared" si="0"/>
        <v>33.29</v>
      </c>
      <c r="F22" s="18" t="s">
        <v>32</v>
      </c>
    </row>
    <row r="23" spans="1:6" x14ac:dyDescent="0.15">
      <c r="A23" t="s">
        <v>69</v>
      </c>
      <c r="C23" t="s">
        <v>39</v>
      </c>
      <c r="D23" s="17"/>
      <c r="E23" s="17">
        <f t="shared" si="0"/>
        <v>0</v>
      </c>
      <c r="F23" s="18" t="s">
        <v>28</v>
      </c>
    </row>
    <row r="24" spans="1:6" x14ac:dyDescent="0.15">
      <c r="A24" t="s">
        <v>35</v>
      </c>
      <c r="B24" s="62">
        <v>1</v>
      </c>
      <c r="C24" s="62" t="s">
        <v>90</v>
      </c>
      <c r="D24" s="63">
        <v>14.88</v>
      </c>
      <c r="E24" s="63">
        <f t="shared" si="0"/>
        <v>14.88</v>
      </c>
      <c r="F24" s="18" t="s">
        <v>36</v>
      </c>
    </row>
    <row r="25" spans="1:6" x14ac:dyDescent="0.15">
      <c r="A25" s="2" t="s">
        <v>37</v>
      </c>
      <c r="E25" s="19">
        <f>SUM(E15:E24)</f>
        <v>267.08999999999997</v>
      </c>
    </row>
    <row r="27" spans="1:6" x14ac:dyDescent="0.15">
      <c r="A27" s="61"/>
      <c r="B27" s="61"/>
      <c r="C27" s="61"/>
      <c r="D27" s="61"/>
      <c r="E27" s="61"/>
    </row>
    <row r="28" spans="1:6" ht="15" customHeight="1" x14ac:dyDescent="0.15">
      <c r="A28" s="2" t="s">
        <v>38</v>
      </c>
    </row>
    <row r="29" spans="1:6" x14ac:dyDescent="0.15">
      <c r="A29" t="s">
        <v>320</v>
      </c>
      <c r="B29">
        <v>1</v>
      </c>
      <c r="C29" t="s">
        <v>90</v>
      </c>
      <c r="E29" s="17">
        <f>7</f>
        <v>7</v>
      </c>
      <c r="F29" s="3" t="s">
        <v>36</v>
      </c>
    </row>
    <row r="30" spans="1:6" x14ac:dyDescent="0.15">
      <c r="A30" t="s">
        <v>295</v>
      </c>
      <c r="B30" s="12">
        <f>B10</f>
        <v>50</v>
      </c>
      <c r="C30" t="s">
        <v>40</v>
      </c>
      <c r="D30" s="17">
        <v>1.6</v>
      </c>
      <c r="E30" s="17">
        <f>B30*D30</f>
        <v>80</v>
      </c>
      <c r="F30" s="18"/>
    </row>
    <row r="31" spans="1:6" x14ac:dyDescent="0.15">
      <c r="A31" t="s">
        <v>321</v>
      </c>
      <c r="B31" s="11">
        <f>B30/12</f>
        <v>4.166666666666667</v>
      </c>
      <c r="C31" t="s">
        <v>39</v>
      </c>
      <c r="D31" s="17">
        <f>Hired_Labor</f>
        <v>16.5</v>
      </c>
      <c r="E31" s="17">
        <f>B31*D31</f>
        <v>68.75</v>
      </c>
      <c r="F31" s="18" t="s">
        <v>72</v>
      </c>
    </row>
    <row r="32" spans="1:6" x14ac:dyDescent="0.15">
      <c r="A32" t="s">
        <v>322</v>
      </c>
      <c r="B32" s="12">
        <f>B30</f>
        <v>50</v>
      </c>
      <c r="C32" t="s">
        <v>40</v>
      </c>
      <c r="D32" s="17">
        <v>1.5</v>
      </c>
      <c r="E32" s="17">
        <f>D32*B32</f>
        <v>75</v>
      </c>
      <c r="F32" s="18" t="s">
        <v>72</v>
      </c>
    </row>
    <row r="33" spans="1:6" x14ac:dyDescent="0.15">
      <c r="A33" t="s">
        <v>125</v>
      </c>
      <c r="B33" s="83">
        <v>0.1</v>
      </c>
      <c r="C33" s="62" t="s">
        <v>41</v>
      </c>
      <c r="D33" s="63"/>
      <c r="E33" s="63">
        <f>B33*E10</f>
        <v>164</v>
      </c>
    </row>
    <row r="34" spans="1:6" x14ac:dyDescent="0.15">
      <c r="A34" s="2" t="s">
        <v>42</v>
      </c>
      <c r="E34" s="19">
        <f>SUM(E29:E33)</f>
        <v>394.75</v>
      </c>
    </row>
    <row r="36" spans="1:6" x14ac:dyDescent="0.15">
      <c r="A36" t="s">
        <v>43</v>
      </c>
      <c r="E36" s="24">
        <f>(Interest_Pct*0.5*E25)+(Interest_Pct*0.25*E34)</f>
        <v>13.933949999999999</v>
      </c>
    </row>
    <row r="38" spans="1:6" x14ac:dyDescent="0.15">
      <c r="A38" s="2" t="s">
        <v>44</v>
      </c>
      <c r="B38" s="2"/>
      <c r="C38" s="2"/>
      <c r="D38" s="2"/>
      <c r="E38" s="19">
        <f>SUM(E25+E34+E36)</f>
        <v>675.7739499999999</v>
      </c>
    </row>
    <row r="40" spans="1:6" x14ac:dyDescent="0.15">
      <c r="A40" s="66" t="s">
        <v>45</v>
      </c>
      <c r="B40" s="67"/>
      <c r="C40" s="67"/>
      <c r="D40" s="67"/>
      <c r="E40" s="68">
        <f>E10-E38</f>
        <v>964.2260500000001</v>
      </c>
    </row>
    <row r="42" spans="1:6" x14ac:dyDescent="0.15">
      <c r="A42" s="61"/>
      <c r="B42" s="61"/>
      <c r="C42" s="61"/>
      <c r="D42" s="61"/>
      <c r="E42" s="61"/>
    </row>
    <row r="43" spans="1:6" ht="15" customHeight="1" x14ac:dyDescent="0.15">
      <c r="A43" s="2" t="s">
        <v>46</v>
      </c>
    </row>
    <row r="44" spans="1:6" x14ac:dyDescent="0.15">
      <c r="A44" t="s">
        <v>47</v>
      </c>
      <c r="E44" s="17">
        <v>16.670000000000002</v>
      </c>
      <c r="F44" s="18"/>
    </row>
    <row r="45" spans="1:6" x14ac:dyDescent="0.15">
      <c r="A45" t="s">
        <v>49</v>
      </c>
      <c r="E45" s="17">
        <v>1</v>
      </c>
    </row>
    <row r="46" spans="1:6" x14ac:dyDescent="0.15">
      <c r="A46" t="s">
        <v>50</v>
      </c>
      <c r="B46" s="62"/>
      <c r="C46" s="62"/>
      <c r="D46" s="62"/>
      <c r="E46" s="63">
        <f>0.01*E10</f>
        <v>16.399999999999999</v>
      </c>
    </row>
    <row r="48" spans="1:6" x14ac:dyDescent="0.15">
      <c r="A48" s="2" t="s">
        <v>51</v>
      </c>
      <c r="E48" s="25">
        <f>SUM(E44:E47)</f>
        <v>34.07</v>
      </c>
    </row>
    <row r="50" spans="1:5" x14ac:dyDescent="0.15">
      <c r="A50" s="2" t="s">
        <v>52</v>
      </c>
      <c r="E50" s="19">
        <f>E38+E48</f>
        <v>709.84394999999995</v>
      </c>
    </row>
    <row r="52" spans="1:5" x14ac:dyDescent="0.15">
      <c r="A52" s="67" t="s">
        <v>53</v>
      </c>
      <c r="B52" s="67"/>
      <c r="C52" s="67"/>
      <c r="D52" s="67"/>
      <c r="E52" s="70">
        <f>E10-E50</f>
        <v>930.15605000000005</v>
      </c>
    </row>
    <row r="54" spans="1:5" x14ac:dyDescent="0.15">
      <c r="A54" t="s">
        <v>54</v>
      </c>
      <c r="B54">
        <v>10</v>
      </c>
      <c r="C54" t="s">
        <v>55</v>
      </c>
      <c r="D54" s="17">
        <f>Operator_Labor</f>
        <v>16.5</v>
      </c>
      <c r="E54" s="17">
        <f>B54*D54</f>
        <v>165</v>
      </c>
    </row>
    <row r="55" spans="1:5" ht="14" thickBot="1" x14ac:dyDescent="0.2">
      <c r="A55" s="1"/>
      <c r="B55" s="1"/>
      <c r="C55" s="1"/>
      <c r="D55" s="1"/>
      <c r="E55" s="1"/>
    </row>
    <row r="56" spans="1:5" ht="14" thickBot="1" x14ac:dyDescent="0.2">
      <c r="A56" s="71" t="s">
        <v>56</v>
      </c>
      <c r="B56" s="1"/>
      <c r="C56" s="1"/>
      <c r="D56" s="1"/>
      <c r="E56" s="72">
        <f>E52-E54</f>
        <v>765.15605000000005</v>
      </c>
    </row>
    <row r="58" spans="1:5" hidden="1" x14ac:dyDescent="0.15"/>
    <row r="59" spans="1:5" x14ac:dyDescent="0.15">
      <c r="A59" s="18" t="s">
        <v>222</v>
      </c>
    </row>
    <row r="60" spans="1:5" x14ac:dyDescent="0.15">
      <c r="A60" s="18" t="s">
        <v>280</v>
      </c>
    </row>
    <row r="61" spans="1:5" x14ac:dyDescent="0.15">
      <c r="A61" s="18" t="s">
        <v>223</v>
      </c>
    </row>
    <row r="62" spans="1:5" x14ac:dyDescent="0.15">
      <c r="A62" s="18" t="s">
        <v>256</v>
      </c>
    </row>
    <row r="63" spans="1:5" x14ac:dyDescent="0.15">
      <c r="A63" s="18" t="s">
        <v>275</v>
      </c>
    </row>
    <row r="64" spans="1:5" x14ac:dyDescent="0.15">
      <c r="A64" s="18" t="s">
        <v>243</v>
      </c>
    </row>
    <row r="65" spans="1:1" x14ac:dyDescent="0.15">
      <c r="A65" t="s">
        <v>244</v>
      </c>
    </row>
  </sheetData>
  <pageMargins left="0.75" right="0.75" top="1" bottom="1" header="0.5" footer="0.5"/>
  <pageSetup scale="79"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H76"/>
  <sheetViews>
    <sheetView zoomScaleNormal="100" workbookViewId="0">
      <selection activeCell="F25" sqref="F25"/>
    </sheetView>
  </sheetViews>
  <sheetFormatPr baseColWidth="10" defaultColWidth="8.83203125" defaultRowHeight="13" x14ac:dyDescent="0.15"/>
  <cols>
    <col min="1" max="1" width="32.5" customWidth="1"/>
    <col min="2" max="2" width="8.1640625" bestFit="1" customWidth="1"/>
    <col min="3" max="3" width="6.1640625" bestFit="1" customWidth="1"/>
    <col min="4" max="4" width="9.1640625" bestFit="1" customWidth="1"/>
    <col min="5" max="5" width="10.83203125" bestFit="1" customWidth="1"/>
    <col min="6" max="6" width="2.6640625" customWidth="1"/>
  </cols>
  <sheetData>
    <row r="1" spans="1:8" ht="16" x14ac:dyDescent="0.2">
      <c r="A1" s="76" t="s">
        <v>187</v>
      </c>
    </row>
    <row r="2" spans="1:8" x14ac:dyDescent="0.15">
      <c r="A2" s="2" t="s">
        <v>255</v>
      </c>
    </row>
    <row r="3" spans="1:8" x14ac:dyDescent="0.15">
      <c r="A3" s="2" t="s">
        <v>203</v>
      </c>
    </row>
    <row r="4" spans="1:8" x14ac:dyDescent="0.15">
      <c r="A4" s="59" t="s">
        <v>251</v>
      </c>
    </row>
    <row r="5" spans="1:8" x14ac:dyDescent="0.15">
      <c r="A5" s="59" t="s">
        <v>252</v>
      </c>
    </row>
    <row r="6" spans="1:8" ht="18.75" customHeight="1" x14ac:dyDescent="0.15">
      <c r="B6" s="105" t="s">
        <v>12</v>
      </c>
      <c r="C6" s="105" t="s">
        <v>13</v>
      </c>
      <c r="D6" s="105" t="s">
        <v>14</v>
      </c>
      <c r="E6" s="105" t="s">
        <v>15</v>
      </c>
    </row>
    <row r="7" spans="1:8" x14ac:dyDescent="0.15">
      <c r="A7" s="2" t="s">
        <v>16</v>
      </c>
      <c r="B7" s="87"/>
      <c r="C7" s="87"/>
      <c r="D7" s="87"/>
      <c r="E7" s="87"/>
    </row>
    <row r="8" spans="1:8" x14ac:dyDescent="0.15">
      <c r="A8" s="3" t="s">
        <v>188</v>
      </c>
      <c r="B8" s="92">
        <v>2400</v>
      </c>
      <c r="C8" s="92" t="s">
        <v>23</v>
      </c>
      <c r="D8" s="90">
        <v>2</v>
      </c>
      <c r="E8" s="24">
        <f>B8*D8</f>
        <v>4800</v>
      </c>
      <c r="F8" s="18" t="s">
        <v>77</v>
      </c>
      <c r="H8" s="3"/>
    </row>
    <row r="9" spans="1:8" x14ac:dyDescent="0.15">
      <c r="A9" s="3"/>
      <c r="B9" s="92"/>
      <c r="C9" s="92"/>
      <c r="D9" s="90"/>
      <c r="E9" s="90"/>
      <c r="F9" s="18"/>
      <c r="H9" s="3"/>
    </row>
    <row r="10" spans="1:8" x14ac:dyDescent="0.15">
      <c r="A10" s="2" t="s">
        <v>202</v>
      </c>
      <c r="B10" s="92"/>
      <c r="C10" s="87"/>
      <c r="D10" s="90"/>
      <c r="E10" s="90">
        <f>SUM(E8:E9)</f>
        <v>4800</v>
      </c>
      <c r="F10" s="18"/>
    </row>
    <row r="11" spans="1:8" ht="10" customHeight="1" x14ac:dyDescent="0.15"/>
    <row r="12" spans="1:8" x14ac:dyDescent="0.15">
      <c r="A12" s="61"/>
      <c r="B12" s="61"/>
      <c r="C12" s="61"/>
      <c r="D12" s="61"/>
      <c r="E12" s="61"/>
    </row>
    <row r="13" spans="1:8" ht="16" customHeight="1" x14ac:dyDescent="0.15">
      <c r="A13" s="2" t="s">
        <v>20</v>
      </c>
    </row>
    <row r="14" spans="1:8" x14ac:dyDescent="0.15">
      <c r="A14" t="s">
        <v>21</v>
      </c>
    </row>
    <row r="15" spans="1:8" x14ac:dyDescent="0.15">
      <c r="A15" t="s">
        <v>119</v>
      </c>
      <c r="B15">
        <v>400</v>
      </c>
      <c r="C15" s="49" t="s">
        <v>63</v>
      </c>
      <c r="D15" s="17">
        <v>0.4</v>
      </c>
      <c r="E15" s="17">
        <f t="shared" ref="E15:E25" si="0">B15*D15</f>
        <v>160</v>
      </c>
      <c r="H15" s="3"/>
    </row>
    <row r="16" spans="1:8" x14ac:dyDescent="0.15">
      <c r="A16" t="s">
        <v>189</v>
      </c>
      <c r="B16">
        <v>12</v>
      </c>
      <c r="C16" t="s">
        <v>71</v>
      </c>
      <c r="D16" s="17">
        <f>Hired_Labor</f>
        <v>16.5</v>
      </c>
      <c r="E16" s="17">
        <f t="shared" si="0"/>
        <v>198</v>
      </c>
      <c r="H16" s="3"/>
    </row>
    <row r="17" spans="1:8" x14ac:dyDescent="0.15">
      <c r="A17" s="3" t="s">
        <v>121</v>
      </c>
      <c r="B17">
        <v>10</v>
      </c>
      <c r="C17" s="3" t="s">
        <v>23</v>
      </c>
      <c r="D17" s="17">
        <v>0.4</v>
      </c>
      <c r="E17" s="17">
        <f t="shared" si="0"/>
        <v>4</v>
      </c>
    </row>
    <row r="18" spans="1:8" x14ac:dyDescent="0.15">
      <c r="A18" s="3" t="s">
        <v>122</v>
      </c>
      <c r="B18">
        <v>0.9</v>
      </c>
      <c r="C18" s="3" t="s">
        <v>23</v>
      </c>
      <c r="D18" s="17">
        <v>3.5</v>
      </c>
      <c r="E18" s="17">
        <f t="shared" si="0"/>
        <v>3.15</v>
      </c>
      <c r="H18" s="3"/>
    </row>
    <row r="19" spans="1:8" x14ac:dyDescent="0.15">
      <c r="A19" s="3" t="s">
        <v>123</v>
      </c>
      <c r="B19">
        <v>60</v>
      </c>
      <c r="C19" s="3" t="s">
        <v>23</v>
      </c>
      <c r="D19" s="17">
        <v>0.65</v>
      </c>
      <c r="E19" s="17">
        <f t="shared" si="0"/>
        <v>39</v>
      </c>
      <c r="H19" s="3"/>
    </row>
    <row r="20" spans="1:8" x14ac:dyDescent="0.15">
      <c r="A20" t="s">
        <v>99</v>
      </c>
      <c r="B20">
        <v>800</v>
      </c>
      <c r="C20" s="3" t="s">
        <v>59</v>
      </c>
      <c r="D20" s="17">
        <v>0.1</v>
      </c>
      <c r="E20" s="17">
        <f t="shared" si="0"/>
        <v>80</v>
      </c>
      <c r="F20" s="18" t="s">
        <v>32</v>
      </c>
      <c r="H20" s="3"/>
    </row>
    <row r="21" spans="1:8" x14ac:dyDescent="0.15">
      <c r="A21" t="s">
        <v>190</v>
      </c>
      <c r="B21">
        <v>1</v>
      </c>
      <c r="C21" t="s">
        <v>90</v>
      </c>
      <c r="D21" s="17">
        <v>220</v>
      </c>
      <c r="E21" s="17">
        <f t="shared" si="0"/>
        <v>220</v>
      </c>
      <c r="F21" s="18" t="s">
        <v>28</v>
      </c>
      <c r="H21" s="3"/>
    </row>
    <row r="22" spans="1:8" x14ac:dyDescent="0.15">
      <c r="A22" t="s">
        <v>31</v>
      </c>
      <c r="B22">
        <v>1</v>
      </c>
      <c r="C22" t="s">
        <v>90</v>
      </c>
      <c r="D22" s="17">
        <f>7.02+(Hired_Labor*4)</f>
        <v>73.02</v>
      </c>
      <c r="E22" s="17">
        <f t="shared" si="0"/>
        <v>73.02</v>
      </c>
      <c r="F22" s="18" t="s">
        <v>36</v>
      </c>
      <c r="H22" s="3"/>
    </row>
    <row r="23" spans="1:8" x14ac:dyDescent="0.15">
      <c r="A23" t="s">
        <v>33</v>
      </c>
      <c r="B23">
        <v>1</v>
      </c>
      <c r="C23" s="3" t="s">
        <v>90</v>
      </c>
      <c r="D23" s="17">
        <f>7.39+Operator_Labor</f>
        <v>23.89</v>
      </c>
      <c r="E23" s="17">
        <f t="shared" si="0"/>
        <v>23.89</v>
      </c>
      <c r="F23" s="18" t="s">
        <v>36</v>
      </c>
    </row>
    <row r="24" spans="1:8" x14ac:dyDescent="0.15">
      <c r="A24" t="s">
        <v>34</v>
      </c>
      <c r="B24">
        <v>1</v>
      </c>
      <c r="C24" s="3" t="s">
        <v>90</v>
      </c>
      <c r="D24" s="17">
        <f>55.26+Operator_Labor</f>
        <v>71.759999999999991</v>
      </c>
      <c r="E24" s="17">
        <f t="shared" si="0"/>
        <v>71.759999999999991</v>
      </c>
      <c r="F24" s="18" t="s">
        <v>36</v>
      </c>
    </row>
    <row r="25" spans="1:8" x14ac:dyDescent="0.15">
      <c r="A25" t="s">
        <v>69</v>
      </c>
      <c r="B25">
        <v>9</v>
      </c>
      <c r="C25" t="s">
        <v>55</v>
      </c>
      <c r="D25" s="17">
        <v>0.65</v>
      </c>
      <c r="E25" s="17">
        <f t="shared" si="0"/>
        <v>5.8500000000000005</v>
      </c>
      <c r="F25" s="18" t="s">
        <v>32</v>
      </c>
    </row>
    <row r="26" spans="1:8" x14ac:dyDescent="0.15">
      <c r="A26" t="s">
        <v>35</v>
      </c>
      <c r="B26" s="62">
        <v>1</v>
      </c>
      <c r="C26" s="62" t="s">
        <v>90</v>
      </c>
      <c r="D26" s="63">
        <v>12.47</v>
      </c>
      <c r="E26" s="63">
        <f>B26*D26</f>
        <v>12.47</v>
      </c>
      <c r="F26" s="18" t="s">
        <v>72</v>
      </c>
    </row>
    <row r="27" spans="1:8" x14ac:dyDescent="0.15">
      <c r="A27" s="2" t="s">
        <v>37</v>
      </c>
      <c r="E27" s="19">
        <f>SUM(E15:E26)</f>
        <v>891.14</v>
      </c>
    </row>
    <row r="29" spans="1:8" x14ac:dyDescent="0.15">
      <c r="A29" s="61"/>
      <c r="B29" s="61"/>
      <c r="C29" s="61"/>
      <c r="D29" s="61"/>
      <c r="E29" s="61"/>
    </row>
    <row r="30" spans="1:8" ht="16" customHeight="1" x14ac:dyDescent="0.15">
      <c r="A30" s="2" t="s">
        <v>38</v>
      </c>
    </row>
    <row r="31" spans="1:8" x14ac:dyDescent="0.15">
      <c r="A31" t="s">
        <v>295</v>
      </c>
      <c r="B31">
        <f>B8/20</f>
        <v>120</v>
      </c>
      <c r="C31" t="s">
        <v>40</v>
      </c>
      <c r="D31" s="17">
        <v>1.5</v>
      </c>
      <c r="E31" s="17">
        <f>B31*D31</f>
        <v>180</v>
      </c>
    </row>
    <row r="32" spans="1:8" x14ac:dyDescent="0.15">
      <c r="A32" t="s">
        <v>302</v>
      </c>
      <c r="B32">
        <v>5</v>
      </c>
      <c r="C32" t="s">
        <v>124</v>
      </c>
      <c r="D32" s="17">
        <v>9.5</v>
      </c>
      <c r="E32" s="17">
        <f>B32*D32</f>
        <v>47.5</v>
      </c>
    </row>
    <row r="33" spans="1:6" x14ac:dyDescent="0.15">
      <c r="A33" t="s">
        <v>292</v>
      </c>
      <c r="B33">
        <v>2</v>
      </c>
      <c r="C33" t="s">
        <v>71</v>
      </c>
      <c r="D33" s="17">
        <f>Hired_Labor</f>
        <v>16.5</v>
      </c>
      <c r="E33" s="17">
        <f>B33*D33</f>
        <v>33</v>
      </c>
    </row>
    <row r="34" spans="1:6" x14ac:dyDescent="0.15">
      <c r="D34" s="17"/>
      <c r="E34" s="17"/>
    </row>
    <row r="35" spans="1:6" x14ac:dyDescent="0.15">
      <c r="A35" t="s">
        <v>297</v>
      </c>
      <c r="D35" s="17"/>
    </row>
    <row r="36" spans="1:6" x14ac:dyDescent="0.15">
      <c r="A36" t="s">
        <v>315</v>
      </c>
      <c r="B36" s="17">
        <v>2.5</v>
      </c>
      <c r="C36" t="s">
        <v>101</v>
      </c>
      <c r="D36" s="17"/>
      <c r="E36" s="17">
        <f>B31*B36</f>
        <v>300</v>
      </c>
      <c r="F36" s="18" t="s">
        <v>98</v>
      </c>
    </row>
    <row r="37" spans="1:6" x14ac:dyDescent="0.15">
      <c r="A37" t="s">
        <v>323</v>
      </c>
      <c r="B37" s="17">
        <v>1</v>
      </c>
      <c r="C37" t="s">
        <v>101</v>
      </c>
      <c r="D37" s="17"/>
      <c r="E37" s="17">
        <f>B31*B37</f>
        <v>120</v>
      </c>
      <c r="F37" s="18" t="s">
        <v>98</v>
      </c>
    </row>
    <row r="38" spans="1:6" x14ac:dyDescent="0.15">
      <c r="A38" t="s">
        <v>125</v>
      </c>
      <c r="B38" s="23">
        <v>0.1</v>
      </c>
      <c r="C38" t="s">
        <v>41</v>
      </c>
      <c r="D38" s="17"/>
      <c r="E38" s="17">
        <f>B38*E10</f>
        <v>480</v>
      </c>
    </row>
    <row r="39" spans="1:6" x14ac:dyDescent="0.15">
      <c r="A39" t="s">
        <v>314</v>
      </c>
      <c r="B39" s="62">
        <v>300</v>
      </c>
      <c r="C39" s="62" t="s">
        <v>94</v>
      </c>
      <c r="D39" s="63">
        <v>0.6</v>
      </c>
      <c r="E39" s="63">
        <f>B39*D39</f>
        <v>180</v>
      </c>
      <c r="F39" s="18" t="s">
        <v>72</v>
      </c>
    </row>
    <row r="40" spans="1:6" x14ac:dyDescent="0.15">
      <c r="A40" s="2" t="s">
        <v>42</v>
      </c>
      <c r="E40" s="19">
        <f>SUM(E31:E39)</f>
        <v>1340.5</v>
      </c>
    </row>
    <row r="42" spans="1:6" x14ac:dyDescent="0.15">
      <c r="A42" t="s">
        <v>43</v>
      </c>
      <c r="E42" s="24">
        <f>(Interest_Pct*0.5*E27)+(Interest_Pct*0.25*E40)</f>
        <v>46.841699999999996</v>
      </c>
    </row>
    <row r="44" spans="1:6" x14ac:dyDescent="0.15">
      <c r="A44" s="2" t="s">
        <v>44</v>
      </c>
      <c r="B44" s="2"/>
      <c r="C44" s="2"/>
      <c r="D44" s="2"/>
      <c r="E44" s="19">
        <f>SUM(E27+E40+E42)</f>
        <v>2278.4816999999998</v>
      </c>
    </row>
    <row r="46" spans="1:6" x14ac:dyDescent="0.15">
      <c r="A46" s="66" t="s">
        <v>45</v>
      </c>
      <c r="B46" s="67"/>
      <c r="C46" s="67"/>
      <c r="D46" s="67"/>
      <c r="E46" s="68">
        <f>E10-E44</f>
        <v>2521.5183000000002</v>
      </c>
    </row>
    <row r="48" spans="1:6" x14ac:dyDescent="0.15">
      <c r="A48" s="61"/>
      <c r="B48" s="61"/>
      <c r="C48" s="61"/>
      <c r="D48" s="61"/>
      <c r="E48" s="61"/>
    </row>
    <row r="49" spans="1:7" ht="16" customHeight="1" x14ac:dyDescent="0.15">
      <c r="A49" s="2" t="s">
        <v>46</v>
      </c>
    </row>
    <row r="50" spans="1:7" x14ac:dyDescent="0.15">
      <c r="A50" t="s">
        <v>47</v>
      </c>
      <c r="E50" s="17">
        <v>55.99</v>
      </c>
      <c r="F50" s="18" t="s">
        <v>72</v>
      </c>
    </row>
    <row r="51" spans="1:7" x14ac:dyDescent="0.15">
      <c r="A51" t="s">
        <v>126</v>
      </c>
      <c r="E51" s="17">
        <v>50</v>
      </c>
      <c r="F51" s="18"/>
    </row>
    <row r="52" spans="1:7" x14ac:dyDescent="0.15">
      <c r="A52" t="s">
        <v>127</v>
      </c>
      <c r="E52" s="17">
        <f>392.86/3</f>
        <v>130.95333333333335</v>
      </c>
      <c r="G52" s="3"/>
    </row>
    <row r="53" spans="1:7" x14ac:dyDescent="0.15">
      <c r="A53" t="s">
        <v>49</v>
      </c>
      <c r="E53" s="17">
        <v>1</v>
      </c>
    </row>
    <row r="54" spans="1:7" x14ac:dyDescent="0.15">
      <c r="A54" t="s">
        <v>50</v>
      </c>
      <c r="B54" s="62"/>
      <c r="C54" s="62"/>
      <c r="D54" s="62"/>
      <c r="E54" s="63">
        <f>0.005*E10</f>
        <v>24</v>
      </c>
    </row>
    <row r="55" spans="1:7" x14ac:dyDescent="0.15">
      <c r="A55" s="2" t="s">
        <v>51</v>
      </c>
      <c r="E55" s="25">
        <f>SUM(E50:E54)</f>
        <v>261.94333333333338</v>
      </c>
    </row>
    <row r="57" spans="1:7" x14ac:dyDescent="0.15">
      <c r="A57" s="2" t="s">
        <v>52</v>
      </c>
      <c r="E57" s="19">
        <f>E44+E55</f>
        <v>2540.425033333333</v>
      </c>
    </row>
    <row r="59" spans="1:7" x14ac:dyDescent="0.15">
      <c r="A59" s="67" t="s">
        <v>53</v>
      </c>
      <c r="B59" s="67"/>
      <c r="C59" s="67"/>
      <c r="D59" s="67"/>
      <c r="E59" s="70">
        <f>E10-E57</f>
        <v>2259.574966666667</v>
      </c>
    </row>
    <row r="61" spans="1:7" x14ac:dyDescent="0.15">
      <c r="A61" t="s">
        <v>54</v>
      </c>
      <c r="B61">
        <v>50</v>
      </c>
      <c r="C61" t="s">
        <v>55</v>
      </c>
      <c r="D61" s="17">
        <f>Operator_Labor</f>
        <v>16.5</v>
      </c>
      <c r="E61" s="17">
        <f>B61*D61</f>
        <v>825</v>
      </c>
      <c r="G61" s="3"/>
    </row>
    <row r="62" spans="1:7" ht="14" thickBot="1" x14ac:dyDescent="0.2">
      <c r="A62" s="1"/>
      <c r="B62" s="1"/>
      <c r="C62" s="1"/>
      <c r="D62" s="1"/>
      <c r="E62" s="1"/>
    </row>
    <row r="63" spans="1:7" ht="14" thickBot="1" x14ac:dyDescent="0.2">
      <c r="A63" s="71" t="s">
        <v>56</v>
      </c>
      <c r="B63" s="1"/>
      <c r="C63" s="1"/>
      <c r="D63" s="1"/>
      <c r="E63" s="72">
        <f>E59-E61</f>
        <v>1434.574966666667</v>
      </c>
    </row>
    <row r="64" spans="1:7" x14ac:dyDescent="0.15">
      <c r="A64" s="2"/>
      <c r="E64" s="19"/>
    </row>
    <row r="65" spans="1:1" hidden="1" x14ac:dyDescent="0.15"/>
    <row r="66" spans="1:1" x14ac:dyDescent="0.15">
      <c r="A66" s="18" t="s">
        <v>128</v>
      </c>
    </row>
    <row r="67" spans="1:1" x14ac:dyDescent="0.15">
      <c r="A67" s="18" t="s">
        <v>224</v>
      </c>
    </row>
    <row r="68" spans="1:1" x14ac:dyDescent="0.15">
      <c r="A68" s="18" t="s">
        <v>245</v>
      </c>
    </row>
    <row r="69" spans="1:1" x14ac:dyDescent="0.15">
      <c r="A69" s="18" t="s">
        <v>248</v>
      </c>
    </row>
    <row r="70" spans="1:1" x14ac:dyDescent="0.15">
      <c r="A70" s="18" t="s">
        <v>327</v>
      </c>
    </row>
    <row r="71" spans="1:1" x14ac:dyDescent="0.15">
      <c r="A71" s="18" t="s">
        <v>281</v>
      </c>
    </row>
    <row r="72" spans="1:1" x14ac:dyDescent="0.15">
      <c r="A72" s="18" t="s">
        <v>282</v>
      </c>
    </row>
    <row r="73" spans="1:1" x14ac:dyDescent="0.15">
      <c r="A73" s="18" t="s">
        <v>283</v>
      </c>
    </row>
    <row r="74" spans="1:1" x14ac:dyDescent="0.15">
      <c r="A74" s="18" t="s">
        <v>246</v>
      </c>
    </row>
    <row r="75" spans="1:1" x14ac:dyDescent="0.15">
      <c r="A75" s="18" t="s">
        <v>247</v>
      </c>
    </row>
    <row r="76" spans="1:1" x14ac:dyDescent="0.15">
      <c r="A76" t="s">
        <v>284</v>
      </c>
    </row>
  </sheetData>
  <pageMargins left="0.75" right="0.75" top="1" bottom="1" header="0.5" footer="0.5"/>
  <pageSetup scale="74"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2"/>
  <sheetViews>
    <sheetView zoomScaleNormal="100" workbookViewId="0">
      <selection activeCell="G10" sqref="G10"/>
    </sheetView>
  </sheetViews>
  <sheetFormatPr baseColWidth="10" defaultColWidth="8.83203125" defaultRowHeight="13" x14ac:dyDescent="0.15"/>
  <cols>
    <col min="1" max="1" width="49" customWidth="1"/>
    <col min="2" max="2" width="8.1640625" bestFit="1" customWidth="1"/>
    <col min="3" max="3" width="7.1640625" bestFit="1" customWidth="1"/>
    <col min="4" max="4" width="9.1640625" bestFit="1" customWidth="1"/>
    <col min="5" max="5" width="10.83203125" bestFit="1" customWidth="1"/>
    <col min="6" max="6" width="3.33203125" customWidth="1"/>
  </cols>
  <sheetData>
    <row r="1" spans="1:9" ht="16" x14ac:dyDescent="0.2">
      <c r="A1" s="76" t="s">
        <v>206</v>
      </c>
      <c r="I1" s="3"/>
    </row>
    <row r="2" spans="1:9" x14ac:dyDescent="0.15">
      <c r="A2" s="2" t="s">
        <v>255</v>
      </c>
    </row>
    <row r="3" spans="1:9" x14ac:dyDescent="0.15">
      <c r="A3" s="2" t="s">
        <v>204</v>
      </c>
    </row>
    <row r="4" spans="1:9" x14ac:dyDescent="0.15">
      <c r="A4" s="59" t="s">
        <v>251</v>
      </c>
    </row>
    <row r="5" spans="1:9" x14ac:dyDescent="0.15">
      <c r="A5" s="59" t="s">
        <v>252</v>
      </c>
    </row>
    <row r="6" spans="1:9" ht="18.75" customHeight="1" x14ac:dyDescent="0.15">
      <c r="B6" s="105" t="s">
        <v>12</v>
      </c>
      <c r="C6" s="105" t="s">
        <v>13</v>
      </c>
      <c r="D6" s="105" t="s">
        <v>14</v>
      </c>
      <c r="E6" s="105" t="s">
        <v>15</v>
      </c>
    </row>
    <row r="7" spans="1:9" x14ac:dyDescent="0.15">
      <c r="A7" s="2" t="s">
        <v>16</v>
      </c>
      <c r="B7" s="94"/>
      <c r="C7" s="87"/>
      <c r="D7" s="87"/>
      <c r="E7" s="87"/>
    </row>
    <row r="8" spans="1:9" x14ac:dyDescent="0.15">
      <c r="A8" t="s">
        <v>191</v>
      </c>
      <c r="B8" s="89">
        <v>450</v>
      </c>
      <c r="C8" s="87" t="s">
        <v>84</v>
      </c>
      <c r="D8" s="90">
        <v>7</v>
      </c>
      <c r="E8" s="90">
        <f>B8*D8</f>
        <v>3150</v>
      </c>
      <c r="F8" s="18" t="s">
        <v>77</v>
      </c>
    </row>
    <row r="9" spans="1:9" x14ac:dyDescent="0.15">
      <c r="A9" s="3" t="s">
        <v>205</v>
      </c>
      <c r="B9" s="87"/>
      <c r="C9" s="87" t="s">
        <v>84</v>
      </c>
      <c r="D9" s="90"/>
      <c r="E9" s="90">
        <f>B9*D9</f>
        <v>0</v>
      </c>
    </row>
    <row r="10" spans="1:9" ht="15" customHeight="1" x14ac:dyDescent="0.15">
      <c r="A10" t="s">
        <v>61</v>
      </c>
      <c r="B10" s="87"/>
      <c r="C10" s="87"/>
      <c r="D10" s="87"/>
      <c r="E10" s="91">
        <f>SUM(E8:E9)</f>
        <v>3150</v>
      </c>
    </row>
    <row r="12" spans="1:9" x14ac:dyDescent="0.15">
      <c r="A12" s="61"/>
      <c r="B12" s="61"/>
      <c r="C12" s="61"/>
      <c r="D12" s="61"/>
      <c r="E12" s="61"/>
    </row>
    <row r="13" spans="1:9" ht="15" customHeight="1" x14ac:dyDescent="0.15">
      <c r="A13" s="2" t="s">
        <v>20</v>
      </c>
    </row>
    <row r="14" spans="1:9" x14ac:dyDescent="0.15">
      <c r="A14" t="s">
        <v>21</v>
      </c>
    </row>
    <row r="15" spans="1:9" x14ac:dyDescent="0.15">
      <c r="A15" t="s">
        <v>192</v>
      </c>
      <c r="B15" s="28">
        <f>25*7</f>
        <v>175</v>
      </c>
      <c r="C15" t="s">
        <v>86</v>
      </c>
      <c r="D15" s="17">
        <v>0.45</v>
      </c>
      <c r="E15" s="17">
        <f t="shared" ref="E15:E29" si="0">B15*D15</f>
        <v>78.75</v>
      </c>
    </row>
    <row r="16" spans="1:9" x14ac:dyDescent="0.15">
      <c r="A16" s="3" t="s">
        <v>193</v>
      </c>
      <c r="B16" s="28">
        <v>88</v>
      </c>
      <c r="C16" s="3" t="s">
        <v>86</v>
      </c>
      <c r="D16" s="17">
        <v>0.2</v>
      </c>
      <c r="E16" s="17">
        <f t="shared" si="0"/>
        <v>17.600000000000001</v>
      </c>
    </row>
    <row r="17" spans="1:6" x14ac:dyDescent="0.15">
      <c r="A17" s="3" t="s">
        <v>87</v>
      </c>
      <c r="B17" s="28">
        <f>175+88</f>
        <v>263</v>
      </c>
      <c r="C17" t="s">
        <v>63</v>
      </c>
      <c r="D17" s="17">
        <v>0.15</v>
      </c>
      <c r="E17" s="17">
        <f t="shared" si="0"/>
        <v>39.449999999999996</v>
      </c>
    </row>
    <row r="18" spans="1:6" x14ac:dyDescent="0.15">
      <c r="A18" t="s">
        <v>64</v>
      </c>
      <c r="B18">
        <v>13</v>
      </c>
      <c r="C18" t="s">
        <v>23</v>
      </c>
      <c r="D18" s="17">
        <v>0.4</v>
      </c>
      <c r="E18" s="17">
        <f t="shared" si="0"/>
        <v>5.2</v>
      </c>
    </row>
    <row r="19" spans="1:6" x14ac:dyDescent="0.15">
      <c r="A19" t="s">
        <v>88</v>
      </c>
      <c r="B19">
        <v>10</v>
      </c>
      <c r="C19" t="s">
        <v>23</v>
      </c>
      <c r="D19" s="17">
        <v>0.3</v>
      </c>
      <c r="E19" s="17">
        <f t="shared" si="0"/>
        <v>3</v>
      </c>
    </row>
    <row r="20" spans="1:6" x14ac:dyDescent="0.15">
      <c r="A20" t="s">
        <v>89</v>
      </c>
      <c r="B20">
        <f>5*10</f>
        <v>50</v>
      </c>
      <c r="C20" t="s">
        <v>23</v>
      </c>
      <c r="D20" s="17">
        <v>0.45</v>
      </c>
      <c r="E20" s="17">
        <f t="shared" si="0"/>
        <v>22.5</v>
      </c>
    </row>
    <row r="21" spans="1:6" x14ac:dyDescent="0.15">
      <c r="A21" t="s">
        <v>67</v>
      </c>
      <c r="B21">
        <v>700</v>
      </c>
      <c r="C21" t="s">
        <v>59</v>
      </c>
      <c r="D21" s="17">
        <v>0.03</v>
      </c>
      <c r="E21" s="17">
        <f t="shared" si="0"/>
        <v>21</v>
      </c>
      <c r="F21" s="18" t="s">
        <v>28</v>
      </c>
    </row>
    <row r="22" spans="1:6" x14ac:dyDescent="0.15">
      <c r="A22" t="s">
        <v>68</v>
      </c>
      <c r="B22">
        <v>700</v>
      </c>
      <c r="C22" t="s">
        <v>59</v>
      </c>
      <c r="D22" s="17">
        <v>0.05</v>
      </c>
      <c r="E22" s="17">
        <f t="shared" si="0"/>
        <v>35</v>
      </c>
      <c r="F22" s="18" t="s">
        <v>28</v>
      </c>
    </row>
    <row r="23" spans="1:6" x14ac:dyDescent="0.15">
      <c r="A23" t="s">
        <v>31</v>
      </c>
      <c r="B23">
        <v>1</v>
      </c>
      <c r="C23" t="s">
        <v>90</v>
      </c>
      <c r="D23" s="17">
        <f>1.26+4*Hired_Labor</f>
        <v>67.260000000000005</v>
      </c>
      <c r="E23" s="17">
        <f t="shared" si="0"/>
        <v>67.260000000000005</v>
      </c>
      <c r="F23" s="18" t="s">
        <v>32</v>
      </c>
    </row>
    <row r="24" spans="1:6" x14ac:dyDescent="0.15">
      <c r="A24" t="s">
        <v>33</v>
      </c>
      <c r="B24">
        <v>1</v>
      </c>
      <c r="C24" t="s">
        <v>90</v>
      </c>
      <c r="D24" s="17">
        <f>10.32+Operator_Labor</f>
        <v>26.82</v>
      </c>
      <c r="E24" s="17">
        <f t="shared" si="0"/>
        <v>26.82</v>
      </c>
      <c r="F24" s="18" t="s">
        <v>32</v>
      </c>
    </row>
    <row r="25" spans="1:6" x14ac:dyDescent="0.15">
      <c r="A25" t="s">
        <v>34</v>
      </c>
      <c r="B25">
        <v>1</v>
      </c>
      <c r="C25" t="s">
        <v>90</v>
      </c>
      <c r="D25" s="17">
        <f>19.26+Operator_Labor</f>
        <v>35.760000000000005</v>
      </c>
      <c r="E25" s="17">
        <f t="shared" si="0"/>
        <v>35.760000000000005</v>
      </c>
      <c r="F25" s="18" t="s">
        <v>32</v>
      </c>
    </row>
    <row r="26" spans="1:6" x14ac:dyDescent="0.15">
      <c r="A26" t="s">
        <v>91</v>
      </c>
      <c r="B26" s="29">
        <f>1/3</f>
        <v>0.33333333333333331</v>
      </c>
      <c r="C26" t="s">
        <v>92</v>
      </c>
      <c r="D26" s="17">
        <v>75</v>
      </c>
      <c r="E26" s="17">
        <f t="shared" si="0"/>
        <v>25</v>
      </c>
      <c r="F26" s="18" t="s">
        <v>98</v>
      </c>
    </row>
    <row r="27" spans="1:6" x14ac:dyDescent="0.15">
      <c r="A27" t="s">
        <v>69</v>
      </c>
      <c r="B27">
        <v>1</v>
      </c>
      <c r="C27" s="3" t="s">
        <v>90</v>
      </c>
      <c r="D27" s="17">
        <v>6.5</v>
      </c>
      <c r="E27" s="17">
        <f t="shared" si="0"/>
        <v>6.5</v>
      </c>
      <c r="F27" s="18" t="s">
        <v>28</v>
      </c>
    </row>
    <row r="28" spans="1:6" x14ac:dyDescent="0.15">
      <c r="A28" t="s">
        <v>93</v>
      </c>
      <c r="B28">
        <v>4</v>
      </c>
      <c r="C28" t="s">
        <v>55</v>
      </c>
      <c r="D28" s="17">
        <f>Hired_Labor</f>
        <v>16.5</v>
      </c>
      <c r="E28" s="17">
        <f t="shared" si="0"/>
        <v>66</v>
      </c>
      <c r="F28" s="18"/>
    </row>
    <row r="29" spans="1:6" x14ac:dyDescent="0.15">
      <c r="A29" t="s">
        <v>35</v>
      </c>
      <c r="B29" s="62">
        <v>1</v>
      </c>
      <c r="C29" s="65" t="s">
        <v>90</v>
      </c>
      <c r="D29" s="63">
        <v>11.55</v>
      </c>
      <c r="E29" s="63">
        <f t="shared" si="0"/>
        <v>11.55</v>
      </c>
      <c r="F29" s="18" t="s">
        <v>36</v>
      </c>
    </row>
    <row r="30" spans="1:6" x14ac:dyDescent="0.15">
      <c r="A30" s="2" t="s">
        <v>37</v>
      </c>
      <c r="E30" s="19">
        <f>SUM(E15:E29)</f>
        <v>461.39</v>
      </c>
    </row>
    <row r="32" spans="1:6" x14ac:dyDescent="0.15">
      <c r="A32" s="61"/>
      <c r="B32" s="61"/>
      <c r="C32" s="61"/>
      <c r="D32" s="61"/>
      <c r="E32" s="61"/>
    </row>
    <row r="33" spans="1:7" ht="15" customHeight="1" x14ac:dyDescent="0.15">
      <c r="A33" s="2" t="s">
        <v>38</v>
      </c>
    </row>
    <row r="34" spans="1:7" x14ac:dyDescent="0.15">
      <c r="A34" t="s">
        <v>292</v>
      </c>
      <c r="B34">
        <v>2</v>
      </c>
      <c r="C34" t="s">
        <v>71</v>
      </c>
      <c r="D34" s="17">
        <f>Hired_Labor</f>
        <v>16.5</v>
      </c>
      <c r="E34" s="17">
        <f>B34*D34</f>
        <v>33</v>
      </c>
    </row>
    <row r="35" spans="1:7" x14ac:dyDescent="0.15">
      <c r="A35" t="s">
        <v>296</v>
      </c>
      <c r="B35">
        <v>1</v>
      </c>
      <c r="C35" s="3" t="s">
        <v>90</v>
      </c>
      <c r="D35" s="17">
        <v>220</v>
      </c>
      <c r="E35" s="17">
        <f>B35*D35</f>
        <v>220</v>
      </c>
    </row>
    <row r="36" spans="1:7" x14ac:dyDescent="0.15">
      <c r="A36" t="s">
        <v>297</v>
      </c>
      <c r="D36" s="17"/>
    </row>
    <row r="37" spans="1:7" x14ac:dyDescent="0.15">
      <c r="A37" t="s">
        <v>313</v>
      </c>
      <c r="B37" s="12">
        <v>15</v>
      </c>
      <c r="C37" t="s">
        <v>71</v>
      </c>
      <c r="D37" s="17">
        <f>Hired_Labor</f>
        <v>16.5</v>
      </c>
      <c r="E37" s="17">
        <f>B37*D37</f>
        <v>247.5</v>
      </c>
      <c r="F37" s="18" t="s">
        <v>72</v>
      </c>
      <c r="G37" s="3"/>
    </row>
    <row r="38" spans="1:7" x14ac:dyDescent="0.15">
      <c r="A38" t="s">
        <v>125</v>
      </c>
      <c r="B38" s="23">
        <v>0.1</v>
      </c>
      <c r="C38" t="s">
        <v>41</v>
      </c>
      <c r="D38" s="17"/>
      <c r="E38" s="17">
        <f>B38*E10</f>
        <v>315</v>
      </c>
    </row>
    <row r="39" spans="1:7" x14ac:dyDescent="0.15">
      <c r="A39" t="s">
        <v>298</v>
      </c>
      <c r="B39" s="62">
        <v>200</v>
      </c>
      <c r="C39" s="62" t="s">
        <v>94</v>
      </c>
      <c r="D39" s="63">
        <v>0.6</v>
      </c>
      <c r="E39" s="63">
        <f>B39*D39</f>
        <v>120</v>
      </c>
      <c r="F39" s="18"/>
    </row>
    <row r="40" spans="1:7" x14ac:dyDescent="0.15">
      <c r="A40" s="2" t="s">
        <v>42</v>
      </c>
      <c r="E40" s="19">
        <f>SUM(E34:E39)</f>
        <v>935.5</v>
      </c>
    </row>
    <row r="42" spans="1:7" x14ac:dyDescent="0.15">
      <c r="A42" t="s">
        <v>43</v>
      </c>
      <c r="E42" s="24">
        <f>(Interest_Pct*0.5*E30)+(Interest_Pct*0.25*E40)</f>
        <v>27.874199999999998</v>
      </c>
    </row>
    <row r="44" spans="1:7" x14ac:dyDescent="0.15">
      <c r="A44" s="2" t="s">
        <v>44</v>
      </c>
      <c r="B44" s="2"/>
      <c r="C44" s="2"/>
      <c r="D44" s="2"/>
      <c r="E44" s="19">
        <f>SUM(E30+E40+E42)</f>
        <v>1424.7641999999998</v>
      </c>
    </row>
    <row r="46" spans="1:7" x14ac:dyDescent="0.15">
      <c r="A46" s="66" t="s">
        <v>45</v>
      </c>
      <c r="B46" s="67"/>
      <c r="C46" s="67"/>
      <c r="D46" s="67"/>
      <c r="E46" s="68">
        <f>E10-E44</f>
        <v>1725.2358000000002</v>
      </c>
    </row>
    <row r="48" spans="1:7" x14ac:dyDescent="0.15">
      <c r="A48" s="61"/>
      <c r="B48" s="61"/>
      <c r="C48" s="61"/>
      <c r="D48" s="61"/>
      <c r="E48" s="61"/>
    </row>
    <row r="49" spans="1:6" x14ac:dyDescent="0.15">
      <c r="A49" s="2" t="s">
        <v>46</v>
      </c>
    </row>
    <row r="50" spans="1:6" x14ac:dyDescent="0.15">
      <c r="A50" t="s">
        <v>47</v>
      </c>
      <c r="E50" s="17">
        <v>21.26</v>
      </c>
      <c r="F50" s="18" t="s">
        <v>36</v>
      </c>
    </row>
    <row r="51" spans="1:6" x14ac:dyDescent="0.15">
      <c r="A51" t="s">
        <v>48</v>
      </c>
      <c r="E51" s="17">
        <f>432.49/3</f>
        <v>144.16333333333333</v>
      </c>
      <c r="F51" t="s">
        <v>28</v>
      </c>
    </row>
    <row r="52" spans="1:6" x14ac:dyDescent="0.15">
      <c r="A52" t="s">
        <v>49</v>
      </c>
      <c r="E52" s="17">
        <v>1</v>
      </c>
    </row>
    <row r="53" spans="1:6" x14ac:dyDescent="0.15">
      <c r="A53" t="s">
        <v>50</v>
      </c>
      <c r="B53" s="62"/>
      <c r="C53" s="62"/>
      <c r="D53" s="62"/>
      <c r="E53" s="63">
        <f>0.01*E44</f>
        <v>14.247641999999999</v>
      </c>
    </row>
    <row r="54" spans="1:6" x14ac:dyDescent="0.15">
      <c r="A54" s="2" t="s">
        <v>51</v>
      </c>
      <c r="E54" s="25">
        <f>SUM(E50:E53)</f>
        <v>180.67097533333333</v>
      </c>
    </row>
    <row r="56" spans="1:6" x14ac:dyDescent="0.15">
      <c r="A56" s="2" t="s">
        <v>52</v>
      </c>
      <c r="E56" s="19">
        <f>E44+E54</f>
        <v>1605.4351753333331</v>
      </c>
    </row>
    <row r="58" spans="1:6" x14ac:dyDescent="0.15">
      <c r="A58" s="67" t="s">
        <v>53</v>
      </c>
      <c r="B58" s="67"/>
      <c r="C58" s="67"/>
      <c r="D58" s="67"/>
      <c r="E58" s="70">
        <f>E10-E56</f>
        <v>1544.5648246666669</v>
      </c>
    </row>
    <row r="60" spans="1:6" x14ac:dyDescent="0.15">
      <c r="A60" t="s">
        <v>74</v>
      </c>
      <c r="B60">
        <v>10</v>
      </c>
      <c r="C60" t="s">
        <v>55</v>
      </c>
      <c r="D60" s="17">
        <f>Operator_Labor</f>
        <v>16.5</v>
      </c>
      <c r="E60" s="17">
        <f>B60*D60</f>
        <v>165</v>
      </c>
    </row>
    <row r="61" spans="1:6" ht="14" thickBot="1" x14ac:dyDescent="0.2">
      <c r="A61" s="1"/>
      <c r="B61" s="1"/>
      <c r="C61" s="1"/>
      <c r="D61" s="1"/>
      <c r="E61" s="1"/>
    </row>
    <row r="62" spans="1:6" ht="14" thickBot="1" x14ac:dyDescent="0.2">
      <c r="A62" s="71" t="s">
        <v>56</v>
      </c>
      <c r="B62" s="1"/>
      <c r="C62" s="1"/>
      <c r="D62" s="1"/>
      <c r="E62" s="72">
        <f>E58-E60</f>
        <v>1379.5648246666669</v>
      </c>
    </row>
    <row r="64" spans="1:6" ht="6.75" hidden="1" customHeight="1" x14ac:dyDescent="0.15"/>
    <row r="65" spans="1:1" x14ac:dyDescent="0.15">
      <c r="A65" s="18" t="s">
        <v>228</v>
      </c>
    </row>
    <row r="66" spans="1:1" x14ac:dyDescent="0.15">
      <c r="A66" s="18" t="s">
        <v>225</v>
      </c>
    </row>
    <row r="67" spans="1:1" x14ac:dyDescent="0.15">
      <c r="A67" s="18" t="s">
        <v>76</v>
      </c>
    </row>
    <row r="68" spans="1:1" x14ac:dyDescent="0.15">
      <c r="A68" s="18" t="s">
        <v>287</v>
      </c>
    </row>
    <row r="69" spans="1:1" x14ac:dyDescent="0.15">
      <c r="A69" s="18" t="s">
        <v>285</v>
      </c>
    </row>
    <row r="70" spans="1:1" x14ac:dyDescent="0.15">
      <c r="A70" s="18" t="s">
        <v>275</v>
      </c>
    </row>
    <row r="71" spans="1:1" x14ac:dyDescent="0.15">
      <c r="A71" s="18" t="s">
        <v>210</v>
      </c>
    </row>
    <row r="72" spans="1:1" x14ac:dyDescent="0.15">
      <c r="A72" s="18" t="s">
        <v>331</v>
      </c>
    </row>
  </sheetData>
  <pageMargins left="0.75" right="0.75" top="1" bottom="1" header="0.5" footer="0.5"/>
  <pageSetup scale="77"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I71"/>
  <sheetViews>
    <sheetView zoomScaleNormal="100" workbookViewId="0">
      <selection activeCell="L24" sqref="L24"/>
    </sheetView>
  </sheetViews>
  <sheetFormatPr baseColWidth="10" defaultColWidth="8.83203125" defaultRowHeight="13" x14ac:dyDescent="0.15"/>
  <cols>
    <col min="1" max="1" width="48.83203125" customWidth="1"/>
    <col min="2" max="2" width="8.1640625" bestFit="1" customWidth="1"/>
    <col min="3" max="3" width="7.1640625" bestFit="1" customWidth="1"/>
    <col min="4" max="4" width="9.1640625" bestFit="1" customWidth="1"/>
    <col min="5" max="5" width="10.83203125" bestFit="1" customWidth="1"/>
    <col min="6" max="6" width="3" customWidth="1"/>
  </cols>
  <sheetData>
    <row r="1" spans="1:9" ht="16" x14ac:dyDescent="0.2">
      <c r="A1" s="76" t="s">
        <v>207</v>
      </c>
      <c r="I1" s="3"/>
    </row>
    <row r="2" spans="1:9" x14ac:dyDescent="0.15">
      <c r="A2" s="2" t="s">
        <v>255</v>
      </c>
    </row>
    <row r="3" spans="1:9" x14ac:dyDescent="0.15">
      <c r="A3" s="2" t="s">
        <v>204</v>
      </c>
    </row>
    <row r="4" spans="1:9" x14ac:dyDescent="0.15">
      <c r="A4" s="59" t="s">
        <v>251</v>
      </c>
    </row>
    <row r="5" spans="1:9" x14ac:dyDescent="0.15">
      <c r="A5" s="59" t="s">
        <v>252</v>
      </c>
    </row>
    <row r="6" spans="1:9" ht="18.75" customHeight="1" x14ac:dyDescent="0.15">
      <c r="B6" s="62" t="s">
        <v>12</v>
      </c>
      <c r="C6" s="62" t="s">
        <v>13</v>
      </c>
      <c r="D6" s="62" t="s">
        <v>14</v>
      </c>
      <c r="E6" s="62" t="s">
        <v>15</v>
      </c>
    </row>
    <row r="7" spans="1:9" x14ac:dyDescent="0.15">
      <c r="A7" s="2" t="s">
        <v>16</v>
      </c>
      <c r="B7" s="16"/>
    </row>
    <row r="8" spans="1:9" x14ac:dyDescent="0.15">
      <c r="A8" t="s">
        <v>194</v>
      </c>
      <c r="B8" s="27">
        <v>450</v>
      </c>
      <c r="C8" t="s">
        <v>84</v>
      </c>
      <c r="D8" s="17">
        <v>5</v>
      </c>
      <c r="E8" s="17">
        <f>B8*D8</f>
        <v>2250</v>
      </c>
      <c r="F8" s="18" t="s">
        <v>77</v>
      </c>
    </row>
    <row r="9" spans="1:9" x14ac:dyDescent="0.15">
      <c r="D9" s="17"/>
      <c r="E9" s="17">
        <f>B9*D9</f>
        <v>0</v>
      </c>
    </row>
    <row r="10" spans="1:9" ht="15" customHeight="1" x14ac:dyDescent="0.15">
      <c r="A10" t="s">
        <v>61</v>
      </c>
      <c r="E10" s="19">
        <f>SUM(E8:E9)</f>
        <v>2250</v>
      </c>
    </row>
    <row r="11" spans="1:9" ht="9" customHeight="1" x14ac:dyDescent="0.15"/>
    <row r="12" spans="1:9" x14ac:dyDescent="0.15">
      <c r="A12" s="61"/>
      <c r="B12" s="61"/>
      <c r="C12" s="61"/>
      <c r="D12" s="61"/>
      <c r="E12" s="61"/>
    </row>
    <row r="13" spans="1:9" ht="15" customHeight="1" x14ac:dyDescent="0.15">
      <c r="A13" s="2" t="s">
        <v>20</v>
      </c>
    </row>
    <row r="14" spans="1:9" x14ac:dyDescent="0.15">
      <c r="A14" t="s">
        <v>21</v>
      </c>
    </row>
    <row r="15" spans="1:9" x14ac:dyDescent="0.15">
      <c r="A15" t="s">
        <v>195</v>
      </c>
      <c r="B15" s="28">
        <v>263</v>
      </c>
      <c r="C15" t="s">
        <v>86</v>
      </c>
      <c r="D15" s="17">
        <v>0.3</v>
      </c>
      <c r="E15" s="17">
        <f t="shared" ref="E15:E28" si="0">B15*D15</f>
        <v>78.899999999999991</v>
      </c>
    </row>
    <row r="16" spans="1:9" x14ac:dyDescent="0.15">
      <c r="A16" s="3" t="s">
        <v>87</v>
      </c>
      <c r="B16" s="28">
        <f>175+88</f>
        <v>263</v>
      </c>
      <c r="C16" t="s">
        <v>63</v>
      </c>
      <c r="D16" s="17">
        <v>0.25</v>
      </c>
      <c r="E16" s="17">
        <f t="shared" si="0"/>
        <v>65.75</v>
      </c>
    </row>
    <row r="17" spans="1:6" x14ac:dyDescent="0.15">
      <c r="A17" t="s">
        <v>64</v>
      </c>
      <c r="B17">
        <v>13</v>
      </c>
      <c r="C17" t="s">
        <v>23</v>
      </c>
      <c r="D17" s="17">
        <v>0.4</v>
      </c>
      <c r="E17" s="17">
        <f t="shared" si="0"/>
        <v>5.2</v>
      </c>
    </row>
    <row r="18" spans="1:6" x14ac:dyDescent="0.15">
      <c r="A18" t="s">
        <v>88</v>
      </c>
      <c r="B18">
        <v>10</v>
      </c>
      <c r="C18" t="s">
        <v>23</v>
      </c>
      <c r="D18" s="17">
        <v>0.6</v>
      </c>
      <c r="E18" s="17">
        <f t="shared" si="0"/>
        <v>6</v>
      </c>
    </row>
    <row r="19" spans="1:6" x14ac:dyDescent="0.15">
      <c r="A19" t="s">
        <v>89</v>
      </c>
      <c r="B19">
        <f>5*10</f>
        <v>50</v>
      </c>
      <c r="C19" t="s">
        <v>23</v>
      </c>
      <c r="D19" s="17">
        <v>0.65</v>
      </c>
      <c r="E19" s="17">
        <f t="shared" si="0"/>
        <v>32.5</v>
      </c>
    </row>
    <row r="20" spans="1:6" x14ac:dyDescent="0.15">
      <c r="A20" t="s">
        <v>67</v>
      </c>
      <c r="B20">
        <v>700</v>
      </c>
      <c r="C20" t="s">
        <v>59</v>
      </c>
      <c r="D20" s="17">
        <v>0.05</v>
      </c>
      <c r="E20" s="17">
        <f t="shared" si="0"/>
        <v>35</v>
      </c>
      <c r="F20" s="18" t="s">
        <v>28</v>
      </c>
    </row>
    <row r="21" spans="1:6" x14ac:dyDescent="0.15">
      <c r="A21" t="s">
        <v>68</v>
      </c>
      <c r="B21">
        <v>700</v>
      </c>
      <c r="C21" t="s">
        <v>59</v>
      </c>
      <c r="D21" s="17">
        <v>0.05</v>
      </c>
      <c r="E21" s="17">
        <f t="shared" si="0"/>
        <v>35</v>
      </c>
      <c r="F21" s="18" t="s">
        <v>28</v>
      </c>
    </row>
    <row r="22" spans="1:6" x14ac:dyDescent="0.15">
      <c r="A22" t="s">
        <v>31</v>
      </c>
      <c r="B22">
        <v>1</v>
      </c>
      <c r="C22" t="s">
        <v>90</v>
      </c>
      <c r="D22" s="17">
        <f>1.26+4*Hired_Labor</f>
        <v>67.260000000000005</v>
      </c>
      <c r="E22" s="17">
        <f t="shared" si="0"/>
        <v>67.260000000000005</v>
      </c>
      <c r="F22" s="18" t="s">
        <v>32</v>
      </c>
    </row>
    <row r="23" spans="1:6" x14ac:dyDescent="0.15">
      <c r="A23" t="s">
        <v>33</v>
      </c>
      <c r="B23">
        <v>1</v>
      </c>
      <c r="C23" t="s">
        <v>90</v>
      </c>
      <c r="D23" s="17">
        <f>10.32+Operator_Labor</f>
        <v>26.82</v>
      </c>
      <c r="E23" s="17">
        <f t="shared" si="0"/>
        <v>26.82</v>
      </c>
      <c r="F23" s="18" t="s">
        <v>32</v>
      </c>
    </row>
    <row r="24" spans="1:6" x14ac:dyDescent="0.15">
      <c r="A24" t="s">
        <v>34</v>
      </c>
      <c r="B24">
        <v>1</v>
      </c>
      <c r="C24" t="s">
        <v>90</v>
      </c>
      <c r="D24" s="17">
        <f>19.26+Operator_Labor</f>
        <v>35.760000000000005</v>
      </c>
      <c r="E24" s="17">
        <f t="shared" si="0"/>
        <v>35.760000000000005</v>
      </c>
      <c r="F24" s="18" t="s">
        <v>32</v>
      </c>
    </row>
    <row r="25" spans="1:6" x14ac:dyDescent="0.15">
      <c r="A25" t="s">
        <v>91</v>
      </c>
      <c r="B25" s="29">
        <f>1/3</f>
        <v>0.33333333333333331</v>
      </c>
      <c r="C25" t="s">
        <v>92</v>
      </c>
      <c r="D25" s="17">
        <v>75</v>
      </c>
      <c r="E25" s="17">
        <f t="shared" si="0"/>
        <v>25</v>
      </c>
      <c r="F25" s="18" t="s">
        <v>98</v>
      </c>
    </row>
    <row r="26" spans="1:6" x14ac:dyDescent="0.15">
      <c r="A26" t="s">
        <v>69</v>
      </c>
      <c r="B26">
        <v>1</v>
      </c>
      <c r="C26" s="3" t="s">
        <v>90</v>
      </c>
      <c r="D26" s="17">
        <v>6.5</v>
      </c>
      <c r="E26" s="17">
        <f t="shared" si="0"/>
        <v>6.5</v>
      </c>
      <c r="F26" s="18" t="s">
        <v>28</v>
      </c>
    </row>
    <row r="27" spans="1:6" x14ac:dyDescent="0.15">
      <c r="A27" t="s">
        <v>93</v>
      </c>
      <c r="B27">
        <v>4</v>
      </c>
      <c r="C27" t="s">
        <v>55</v>
      </c>
      <c r="D27" s="17">
        <f>Hired_Labor</f>
        <v>16.5</v>
      </c>
      <c r="E27" s="17">
        <f t="shared" si="0"/>
        <v>66</v>
      </c>
      <c r="F27" s="18"/>
    </row>
    <row r="28" spans="1:6" x14ac:dyDescent="0.15">
      <c r="A28" t="s">
        <v>35</v>
      </c>
      <c r="B28" s="62">
        <v>1</v>
      </c>
      <c r="C28" s="65" t="s">
        <v>90</v>
      </c>
      <c r="D28" s="63">
        <v>11.55</v>
      </c>
      <c r="E28" s="63">
        <f t="shared" si="0"/>
        <v>11.55</v>
      </c>
      <c r="F28" s="18" t="s">
        <v>36</v>
      </c>
    </row>
    <row r="29" spans="1:6" x14ac:dyDescent="0.15">
      <c r="A29" s="2" t="s">
        <v>37</v>
      </c>
      <c r="E29" s="19">
        <f>SUM(E15:E28)</f>
        <v>497.23999999999995</v>
      </c>
    </row>
    <row r="30" spans="1:6" ht="9" customHeight="1" x14ac:dyDescent="0.15"/>
    <row r="31" spans="1:6" x14ac:dyDescent="0.15">
      <c r="A31" s="61"/>
      <c r="B31" s="61"/>
      <c r="C31" s="61"/>
      <c r="D31" s="61"/>
      <c r="E31" s="61"/>
    </row>
    <row r="32" spans="1:6" ht="15" customHeight="1" x14ac:dyDescent="0.15">
      <c r="A32" s="2" t="s">
        <v>38</v>
      </c>
    </row>
    <row r="33" spans="1:7" x14ac:dyDescent="0.15">
      <c r="A33" t="s">
        <v>292</v>
      </c>
      <c r="B33">
        <v>2</v>
      </c>
      <c r="C33" t="s">
        <v>71</v>
      </c>
      <c r="D33" s="17">
        <f>Hired_Labor</f>
        <v>16.5</v>
      </c>
      <c r="E33" s="17">
        <f>B33*D33</f>
        <v>33</v>
      </c>
    </row>
    <row r="34" spans="1:7" x14ac:dyDescent="0.15">
      <c r="A34" t="s">
        <v>296</v>
      </c>
      <c r="B34">
        <v>1</v>
      </c>
      <c r="D34" s="17">
        <v>220</v>
      </c>
      <c r="E34" s="17">
        <f>B34*D34</f>
        <v>220</v>
      </c>
    </row>
    <row r="35" spans="1:7" x14ac:dyDescent="0.15">
      <c r="A35" t="s">
        <v>297</v>
      </c>
      <c r="D35" s="17"/>
    </row>
    <row r="36" spans="1:7" x14ac:dyDescent="0.15">
      <c r="A36" t="s">
        <v>313</v>
      </c>
      <c r="B36" s="12">
        <v>15</v>
      </c>
      <c r="C36" t="s">
        <v>71</v>
      </c>
      <c r="D36" s="17">
        <f>Hired_Labor</f>
        <v>16.5</v>
      </c>
      <c r="E36" s="17">
        <f>B36*D36</f>
        <v>247.5</v>
      </c>
      <c r="F36" s="18" t="s">
        <v>72</v>
      </c>
      <c r="G36" s="3"/>
    </row>
    <row r="37" spans="1:7" x14ac:dyDescent="0.15">
      <c r="A37" t="s">
        <v>125</v>
      </c>
      <c r="B37" s="23">
        <v>0.1</v>
      </c>
      <c r="C37" t="s">
        <v>41</v>
      </c>
      <c r="D37" s="17"/>
      <c r="E37" s="17">
        <f>B37*E10</f>
        <v>225</v>
      </c>
    </row>
    <row r="38" spans="1:7" x14ac:dyDescent="0.15">
      <c r="A38" t="s">
        <v>298</v>
      </c>
      <c r="B38" s="62">
        <v>200</v>
      </c>
      <c r="C38" s="62" t="s">
        <v>94</v>
      </c>
      <c r="D38" s="63">
        <v>0.6</v>
      </c>
      <c r="E38" s="63">
        <f>B38*D38</f>
        <v>120</v>
      </c>
      <c r="F38" s="18" t="s">
        <v>36</v>
      </c>
    </row>
    <row r="39" spans="1:7" x14ac:dyDescent="0.15">
      <c r="A39" s="2" t="s">
        <v>42</v>
      </c>
      <c r="E39" s="19">
        <f>SUM(E33:E38)</f>
        <v>845.5</v>
      </c>
    </row>
    <row r="41" spans="1:7" x14ac:dyDescent="0.15">
      <c r="A41" t="s">
        <v>43</v>
      </c>
      <c r="E41" s="24">
        <f>(Interest_Pct*0.5*E29)+(Interest_Pct*0.25*E39)</f>
        <v>27.599699999999999</v>
      </c>
    </row>
    <row r="43" spans="1:7" x14ac:dyDescent="0.15">
      <c r="A43" s="2" t="s">
        <v>44</v>
      </c>
      <c r="B43" s="2"/>
      <c r="C43" s="2"/>
      <c r="D43" s="2"/>
      <c r="E43" s="19">
        <f>SUM(E29+E39+E41)</f>
        <v>1370.3397</v>
      </c>
    </row>
    <row r="45" spans="1:7" x14ac:dyDescent="0.15">
      <c r="A45" s="66" t="s">
        <v>45</v>
      </c>
      <c r="B45" s="67"/>
      <c r="C45" s="67"/>
      <c r="D45" s="67"/>
      <c r="E45" s="68">
        <f>E10-E43</f>
        <v>879.66030000000001</v>
      </c>
    </row>
    <row r="47" spans="1:7" x14ac:dyDescent="0.15">
      <c r="A47" s="61"/>
      <c r="B47" s="61"/>
      <c r="C47" s="61"/>
      <c r="D47" s="61"/>
      <c r="E47" s="61"/>
    </row>
    <row r="48" spans="1:7" ht="15" customHeight="1" x14ac:dyDescent="0.15">
      <c r="A48" s="2" t="s">
        <v>46</v>
      </c>
    </row>
    <row r="49" spans="1:6" x14ac:dyDescent="0.15">
      <c r="A49" t="s">
        <v>47</v>
      </c>
      <c r="E49" s="36">
        <v>21.26</v>
      </c>
      <c r="F49" s="18" t="s">
        <v>36</v>
      </c>
    </row>
    <row r="50" spans="1:6" x14ac:dyDescent="0.15">
      <c r="A50" t="s">
        <v>48</v>
      </c>
      <c r="E50" s="17">
        <f>432.49/3</f>
        <v>144.16333333333333</v>
      </c>
      <c r="F50" t="s">
        <v>28</v>
      </c>
    </row>
    <row r="51" spans="1:6" x14ac:dyDescent="0.15">
      <c r="A51" t="s">
        <v>49</v>
      </c>
      <c r="E51" s="17">
        <v>1</v>
      </c>
    </row>
    <row r="52" spans="1:6" x14ac:dyDescent="0.15">
      <c r="A52" t="s">
        <v>50</v>
      </c>
      <c r="B52" s="62"/>
      <c r="C52" s="62"/>
      <c r="D52" s="62"/>
      <c r="E52" s="63">
        <f>0.01*E43</f>
        <v>13.703397000000001</v>
      </c>
    </row>
    <row r="53" spans="1:6" x14ac:dyDescent="0.15">
      <c r="A53" s="2" t="s">
        <v>51</v>
      </c>
      <c r="E53" s="25">
        <f>SUM(E49:E52)</f>
        <v>180.12673033333331</v>
      </c>
    </row>
    <row r="55" spans="1:6" x14ac:dyDescent="0.15">
      <c r="A55" s="2" t="s">
        <v>52</v>
      </c>
      <c r="E55" s="19">
        <f>E43+E53</f>
        <v>1550.4664303333334</v>
      </c>
    </row>
    <row r="57" spans="1:6" x14ac:dyDescent="0.15">
      <c r="A57" s="67" t="s">
        <v>53</v>
      </c>
      <c r="B57" s="67"/>
      <c r="C57" s="67"/>
      <c r="D57" s="67"/>
      <c r="E57" s="70">
        <f>E10-E55</f>
        <v>699.53356966666661</v>
      </c>
    </row>
    <row r="59" spans="1:6" x14ac:dyDescent="0.15">
      <c r="A59" t="s">
        <v>74</v>
      </c>
      <c r="B59">
        <v>10</v>
      </c>
      <c r="C59" t="s">
        <v>55</v>
      </c>
      <c r="D59" s="17">
        <f>Operator_Labor</f>
        <v>16.5</v>
      </c>
      <c r="E59" s="17">
        <f>B59*D59</f>
        <v>165</v>
      </c>
    </row>
    <row r="60" spans="1:6" ht="14" thickBot="1" x14ac:dyDescent="0.2">
      <c r="A60" s="1"/>
      <c r="B60" s="1"/>
      <c r="C60" s="1"/>
      <c r="D60" s="1"/>
      <c r="E60" s="1"/>
    </row>
    <row r="61" spans="1:6" ht="14" thickBot="1" x14ac:dyDescent="0.2">
      <c r="A61" s="71" t="s">
        <v>56</v>
      </c>
      <c r="B61" s="1"/>
      <c r="C61" s="1"/>
      <c r="D61" s="1"/>
      <c r="E61" s="72">
        <f>E57-E59</f>
        <v>534.53356966666661</v>
      </c>
    </row>
    <row r="63" spans="1:6" ht="6.75" hidden="1" customHeight="1" x14ac:dyDescent="0.15"/>
    <row r="64" spans="1:6" x14ac:dyDescent="0.15">
      <c r="A64" s="18" t="s">
        <v>228</v>
      </c>
    </row>
    <row r="65" spans="1:1" x14ac:dyDescent="0.15">
      <c r="A65" s="18" t="s">
        <v>225</v>
      </c>
    </row>
    <row r="66" spans="1:1" x14ac:dyDescent="0.15">
      <c r="A66" s="18" t="s">
        <v>76</v>
      </c>
    </row>
    <row r="67" spans="1:1" x14ac:dyDescent="0.15">
      <c r="A67" s="18" t="s">
        <v>286</v>
      </c>
    </row>
    <row r="68" spans="1:1" x14ac:dyDescent="0.15">
      <c r="A68" s="18" t="s">
        <v>285</v>
      </c>
    </row>
    <row r="69" spans="1:1" x14ac:dyDescent="0.15">
      <c r="A69" s="18" t="s">
        <v>275</v>
      </c>
    </row>
    <row r="70" spans="1:1" x14ac:dyDescent="0.15">
      <c r="A70" s="18" t="s">
        <v>210</v>
      </c>
    </row>
    <row r="71" spans="1:1" x14ac:dyDescent="0.15">
      <c r="A71" s="18" t="s">
        <v>331</v>
      </c>
    </row>
  </sheetData>
  <pageMargins left="0.75" right="0.75" top="1" bottom="1" header="0.5" footer="0.5"/>
  <pageSetup scale="77"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63"/>
  <sheetViews>
    <sheetView zoomScaleNormal="100" workbookViewId="0">
      <selection activeCell="N66" sqref="N66"/>
    </sheetView>
  </sheetViews>
  <sheetFormatPr baseColWidth="10" defaultColWidth="8.83203125" defaultRowHeight="13" x14ac:dyDescent="0.15"/>
  <cols>
    <col min="1" max="1" width="34.5" style="7" customWidth="1"/>
    <col min="2" max="2" width="8.1640625" style="7" bestFit="1" customWidth="1"/>
    <col min="3" max="3" width="7.33203125" style="7" bestFit="1" customWidth="1"/>
    <col min="4" max="4" width="8.1640625" style="7" bestFit="1" customWidth="1"/>
    <col min="5" max="5" width="9.1640625" style="7" bestFit="1" customWidth="1"/>
    <col min="6" max="16384" width="8.83203125" style="7"/>
  </cols>
  <sheetData>
    <row r="1" spans="1:10" ht="16" x14ac:dyDescent="0.2">
      <c r="A1" s="75" t="s">
        <v>11</v>
      </c>
    </row>
    <row r="2" spans="1:10" x14ac:dyDescent="0.15">
      <c r="A2" s="6" t="s">
        <v>255</v>
      </c>
    </row>
    <row r="3" spans="1:10" x14ac:dyDescent="0.15">
      <c r="A3" s="6" t="s">
        <v>180</v>
      </c>
    </row>
    <row r="4" spans="1:10" customFormat="1" x14ac:dyDescent="0.15">
      <c r="A4" s="59" t="s">
        <v>251</v>
      </c>
    </row>
    <row r="5" spans="1:10" customFormat="1" x14ac:dyDescent="0.15">
      <c r="A5" s="59" t="s">
        <v>252</v>
      </c>
    </row>
    <row r="6" spans="1:10" ht="18.75" customHeight="1" x14ac:dyDescent="0.15">
      <c r="B6" s="97" t="s">
        <v>12</v>
      </c>
      <c r="C6" s="97" t="s">
        <v>13</v>
      </c>
      <c r="D6" s="97" t="s">
        <v>14</v>
      </c>
      <c r="E6" s="97" t="s">
        <v>15</v>
      </c>
    </row>
    <row r="7" spans="1:10" x14ac:dyDescent="0.15">
      <c r="A7" s="6" t="s">
        <v>16</v>
      </c>
      <c r="B7" s="98"/>
      <c r="C7" s="98"/>
      <c r="D7" s="98"/>
      <c r="E7" s="98"/>
    </row>
    <row r="8" spans="1:10" x14ac:dyDescent="0.15">
      <c r="A8" s="7" t="s">
        <v>17</v>
      </c>
      <c r="B8" s="98">
        <v>150</v>
      </c>
      <c r="C8" s="98" t="s">
        <v>18</v>
      </c>
      <c r="D8" s="99">
        <v>3</v>
      </c>
      <c r="E8" s="100">
        <f>B8*D8</f>
        <v>450</v>
      </c>
      <c r="F8" s="7" t="s">
        <v>19</v>
      </c>
    </row>
    <row r="9" spans="1:10" x14ac:dyDescent="0.15">
      <c r="A9" s="6"/>
      <c r="B9" s="98"/>
      <c r="C9" s="98"/>
      <c r="D9" s="99"/>
      <c r="E9" s="100">
        <f>B9*D9</f>
        <v>0</v>
      </c>
    </row>
    <row r="10" spans="1:10" x14ac:dyDescent="0.15">
      <c r="A10" t="s">
        <v>61</v>
      </c>
      <c r="B10" s="98"/>
      <c r="C10" s="98"/>
      <c r="D10" s="99"/>
      <c r="E10" s="100">
        <f>SUM(E8:E9)</f>
        <v>450</v>
      </c>
    </row>
    <row r="11" spans="1:10" x14ac:dyDescent="0.15">
      <c r="A11"/>
      <c r="B11" s="98"/>
      <c r="C11" s="98"/>
      <c r="D11" s="99"/>
      <c r="E11" s="100"/>
    </row>
    <row r="12" spans="1:10" x14ac:dyDescent="0.15">
      <c r="A12" s="50"/>
      <c r="B12" s="50"/>
      <c r="C12" s="50"/>
      <c r="D12" s="50"/>
      <c r="E12" s="50"/>
    </row>
    <row r="13" spans="1:10" ht="16" customHeight="1" x14ac:dyDescent="0.15">
      <c r="A13" s="6" t="s">
        <v>20</v>
      </c>
    </row>
    <row r="14" spans="1:10" x14ac:dyDescent="0.15">
      <c r="A14" s="7" t="s">
        <v>21</v>
      </c>
    </row>
    <row r="15" spans="1:10" x14ac:dyDescent="0.15">
      <c r="A15" s="7" t="s">
        <v>22</v>
      </c>
      <c r="B15" s="7">
        <v>3</v>
      </c>
      <c r="C15" s="7" t="s">
        <v>23</v>
      </c>
      <c r="D15" s="8">
        <v>0.6</v>
      </c>
      <c r="E15" s="8">
        <f>B15*D15</f>
        <v>1.7999999999999998</v>
      </c>
      <c r="J15" s="8"/>
    </row>
    <row r="16" spans="1:10" x14ac:dyDescent="0.15">
      <c r="A16" s="7" t="s">
        <v>24</v>
      </c>
      <c r="B16" s="7">
        <v>2</v>
      </c>
      <c r="C16" s="7" t="s">
        <v>23</v>
      </c>
      <c r="D16" s="8">
        <v>0.6</v>
      </c>
      <c r="E16" s="8">
        <f>B16*D16</f>
        <v>1.2</v>
      </c>
      <c r="J16" s="8"/>
    </row>
    <row r="17" spans="1:10" x14ac:dyDescent="0.15">
      <c r="A17" s="7" t="s">
        <v>25</v>
      </c>
      <c r="B17" s="7">
        <v>0.5</v>
      </c>
      <c r="C17" s="7" t="s">
        <v>18</v>
      </c>
      <c r="D17" s="8">
        <v>12</v>
      </c>
      <c r="E17" s="8">
        <f>B17*D17</f>
        <v>6</v>
      </c>
      <c r="J17" s="8"/>
    </row>
    <row r="18" spans="1:10" x14ac:dyDescent="0.15">
      <c r="A18" s="7" t="s">
        <v>26</v>
      </c>
      <c r="B18" s="7">
        <v>100</v>
      </c>
      <c r="C18" s="7" t="s">
        <v>27</v>
      </c>
      <c r="D18" s="8">
        <v>0.1</v>
      </c>
      <c r="E18" s="8">
        <f>B18*D18</f>
        <v>10</v>
      </c>
      <c r="F18" s="9" t="s">
        <v>28</v>
      </c>
      <c r="J18" s="8"/>
    </row>
    <row r="19" spans="1:10" x14ac:dyDescent="0.15">
      <c r="A19" s="86" t="s">
        <v>29</v>
      </c>
      <c r="B19" s="7">
        <v>1</v>
      </c>
      <c r="C19" s="7" t="s">
        <v>30</v>
      </c>
      <c r="D19" s="8">
        <v>5</v>
      </c>
      <c r="E19" s="8">
        <f>B19*D19</f>
        <v>5</v>
      </c>
      <c r="F19" s="9" t="s">
        <v>28</v>
      </c>
      <c r="J19" s="8"/>
    </row>
    <row r="20" spans="1:10" x14ac:dyDescent="0.15">
      <c r="A20" s="7" t="s">
        <v>31</v>
      </c>
      <c r="B20" s="7">
        <v>1</v>
      </c>
      <c r="C20" s="7" t="s">
        <v>30</v>
      </c>
      <c r="D20" s="8">
        <f>Hired_Labor+0.65</f>
        <v>17.149999999999999</v>
      </c>
      <c r="E20" s="8">
        <f t="shared" ref="E20:E23" si="0">B20*D20</f>
        <v>17.149999999999999</v>
      </c>
      <c r="F20" s="9" t="s">
        <v>32</v>
      </c>
      <c r="J20" s="8"/>
    </row>
    <row r="21" spans="1:10" x14ac:dyDescent="0.15">
      <c r="A21" s="7" t="s">
        <v>33</v>
      </c>
      <c r="B21" s="7">
        <v>1</v>
      </c>
      <c r="C21" s="7" t="s">
        <v>30</v>
      </c>
      <c r="D21" s="8">
        <f>Operator_Labor+0.25</f>
        <v>16.75</v>
      </c>
      <c r="E21" s="8">
        <f t="shared" si="0"/>
        <v>16.75</v>
      </c>
      <c r="F21" s="9" t="s">
        <v>32</v>
      </c>
      <c r="J21" s="8"/>
    </row>
    <row r="22" spans="1:10" x14ac:dyDescent="0.15">
      <c r="A22" s="7" t="s">
        <v>34</v>
      </c>
      <c r="B22" s="7">
        <v>1</v>
      </c>
      <c r="C22" s="7" t="s">
        <v>30</v>
      </c>
      <c r="D22" s="8">
        <f>Operator_Labor+0.75</f>
        <v>17.25</v>
      </c>
      <c r="E22" s="8">
        <f t="shared" si="0"/>
        <v>17.25</v>
      </c>
      <c r="F22" s="9" t="s">
        <v>32</v>
      </c>
      <c r="J22" s="8"/>
    </row>
    <row r="23" spans="1:10" x14ac:dyDescent="0.15">
      <c r="A23" s="7" t="s">
        <v>35</v>
      </c>
      <c r="B23" s="48">
        <v>1</v>
      </c>
      <c r="C23" s="48" t="s">
        <v>30</v>
      </c>
      <c r="D23" s="51">
        <v>3.89</v>
      </c>
      <c r="E23" s="51">
        <f t="shared" si="0"/>
        <v>3.89</v>
      </c>
      <c r="F23" s="9" t="s">
        <v>36</v>
      </c>
      <c r="J23" s="8"/>
    </row>
    <row r="24" spans="1:10" x14ac:dyDescent="0.15">
      <c r="A24" s="6" t="s">
        <v>37</v>
      </c>
      <c r="E24" s="10">
        <f>SUM(E15:E23)</f>
        <v>79.040000000000006</v>
      </c>
    </row>
    <row r="26" spans="1:10" x14ac:dyDescent="0.15">
      <c r="A26" s="50"/>
      <c r="B26" s="50"/>
      <c r="C26" s="50"/>
      <c r="D26" s="50"/>
      <c r="E26" s="50"/>
    </row>
    <row r="27" spans="1:10" ht="16" customHeight="1" x14ac:dyDescent="0.15">
      <c r="A27" s="6" t="s">
        <v>38</v>
      </c>
      <c r="F27" s="9"/>
    </row>
    <row r="28" spans="1:10" x14ac:dyDescent="0.15">
      <c r="A28" s="7" t="s">
        <v>288</v>
      </c>
      <c r="B28" s="11">
        <f>B8/30</f>
        <v>5</v>
      </c>
      <c r="C28" s="7" t="s">
        <v>39</v>
      </c>
      <c r="D28" s="8">
        <f>Hired_Labor</f>
        <v>16.5</v>
      </c>
      <c r="E28" s="8">
        <f>B28*D28</f>
        <v>82.5</v>
      </c>
      <c r="F28" s="9"/>
    </row>
    <row r="29" spans="1:10" x14ac:dyDescent="0.15">
      <c r="A29" s="7" t="s">
        <v>289</v>
      </c>
      <c r="B29" s="12">
        <v>5</v>
      </c>
      <c r="C29" s="7" t="s">
        <v>40</v>
      </c>
      <c r="D29" s="8">
        <v>1.5</v>
      </c>
      <c r="E29" s="8">
        <f>B29*D29</f>
        <v>7.5</v>
      </c>
      <c r="F29" s="9"/>
    </row>
    <row r="30" spans="1:10" x14ac:dyDescent="0.15">
      <c r="A30" s="7" t="s">
        <v>290</v>
      </c>
      <c r="B30" s="7">
        <v>1</v>
      </c>
      <c r="C30" s="7" t="s">
        <v>39</v>
      </c>
      <c r="D30" s="8">
        <f>Hired_Labor</f>
        <v>16.5</v>
      </c>
      <c r="E30" s="8">
        <f>B30*D30</f>
        <v>16.5</v>
      </c>
    </row>
    <row r="31" spans="1:10" x14ac:dyDescent="0.15">
      <c r="A31" s="7" t="s">
        <v>291</v>
      </c>
      <c r="B31" s="12">
        <f>B29</f>
        <v>5</v>
      </c>
      <c r="C31" s="7" t="s">
        <v>40</v>
      </c>
      <c r="D31" s="8">
        <v>1.75</v>
      </c>
      <c r="E31" s="8">
        <f>D31*B31</f>
        <v>8.75</v>
      </c>
    </row>
    <row r="32" spans="1:10" x14ac:dyDescent="0.15">
      <c r="A32" s="7" t="s">
        <v>125</v>
      </c>
      <c r="B32" s="52">
        <f>Marketing_Pct</f>
        <v>0.1</v>
      </c>
      <c r="C32" s="48" t="s">
        <v>41</v>
      </c>
      <c r="D32" s="51"/>
      <c r="E32" s="51">
        <f>B32*E10</f>
        <v>45</v>
      </c>
    </row>
    <row r="33" spans="1:6" x14ac:dyDescent="0.15">
      <c r="A33" s="6" t="s">
        <v>42</v>
      </c>
      <c r="E33" s="10">
        <f>SUM(E28:E32)</f>
        <v>160.25</v>
      </c>
    </row>
    <row r="35" spans="1:6" x14ac:dyDescent="0.15">
      <c r="A35" s="7" t="s">
        <v>43</v>
      </c>
      <c r="E35" s="13">
        <f>(Interest_Pct*0.5*E24)+(Interest_Pct*0.25*E33)</f>
        <v>4.7749500000000005</v>
      </c>
    </row>
    <row r="37" spans="1:6" x14ac:dyDescent="0.15">
      <c r="A37" s="6" t="s">
        <v>44</v>
      </c>
      <c r="B37" s="6"/>
      <c r="C37" s="6"/>
      <c r="D37" s="6"/>
      <c r="E37" s="10">
        <f>SUM(E24+E33+E35)</f>
        <v>244.06495000000001</v>
      </c>
    </row>
    <row r="39" spans="1:6" x14ac:dyDescent="0.15">
      <c r="A39" s="53" t="s">
        <v>45</v>
      </c>
      <c r="B39" s="54"/>
      <c r="C39" s="54"/>
      <c r="D39" s="54"/>
      <c r="E39" s="55">
        <f>E10-E37</f>
        <v>205.93504999999999</v>
      </c>
    </row>
    <row r="41" spans="1:6" x14ac:dyDescent="0.15">
      <c r="A41" s="50"/>
      <c r="B41" s="50"/>
      <c r="C41" s="50"/>
      <c r="D41" s="50"/>
      <c r="E41" s="50"/>
      <c r="F41" s="9"/>
    </row>
    <row r="42" spans="1:6" ht="16" customHeight="1" x14ac:dyDescent="0.15">
      <c r="A42" s="6" t="s">
        <v>46</v>
      </c>
    </row>
    <row r="43" spans="1:6" x14ac:dyDescent="0.15">
      <c r="A43" s="7" t="s">
        <v>47</v>
      </c>
      <c r="E43" s="8">
        <v>16.36</v>
      </c>
    </row>
    <row r="44" spans="1:6" x14ac:dyDescent="0.15">
      <c r="A44" s="7" t="s">
        <v>48</v>
      </c>
      <c r="E44" s="8">
        <v>9.6</v>
      </c>
    </row>
    <row r="45" spans="1:6" x14ac:dyDescent="0.15">
      <c r="A45" s="7" t="s">
        <v>49</v>
      </c>
      <c r="E45" s="8">
        <v>1</v>
      </c>
    </row>
    <row r="46" spans="1:6" x14ac:dyDescent="0.15">
      <c r="A46" s="7" t="s">
        <v>50</v>
      </c>
      <c r="B46" s="48"/>
      <c r="C46" s="48"/>
      <c r="D46" s="48"/>
      <c r="E46" s="51">
        <f>0.01*E10</f>
        <v>4.5</v>
      </c>
    </row>
    <row r="47" spans="1:6" x14ac:dyDescent="0.15">
      <c r="A47" s="6" t="s">
        <v>51</v>
      </c>
      <c r="E47" s="14">
        <f>SUM(E43:E46)</f>
        <v>31.46</v>
      </c>
    </row>
    <row r="49" spans="1:5" x14ac:dyDescent="0.15">
      <c r="A49" s="6" t="s">
        <v>52</v>
      </c>
      <c r="E49" s="10">
        <f>E37+E47</f>
        <v>275.52494999999999</v>
      </c>
    </row>
    <row r="51" spans="1:5" x14ac:dyDescent="0.15">
      <c r="A51" s="54" t="s">
        <v>53</v>
      </c>
      <c r="B51" s="54"/>
      <c r="C51" s="54"/>
      <c r="D51" s="54"/>
      <c r="E51" s="56">
        <f>E10-E49</f>
        <v>174.47505000000001</v>
      </c>
    </row>
    <row r="53" spans="1:5" x14ac:dyDescent="0.15">
      <c r="A53" s="7" t="s">
        <v>54</v>
      </c>
      <c r="B53" s="7">
        <v>2</v>
      </c>
      <c r="C53" s="7" t="s">
        <v>55</v>
      </c>
      <c r="D53" s="8">
        <f>Operator_Labor</f>
        <v>16.5</v>
      </c>
      <c r="E53" s="8">
        <f>B53*D53</f>
        <v>33</v>
      </c>
    </row>
    <row r="54" spans="1:5" ht="14" thickBot="1" x14ac:dyDescent="0.2">
      <c r="A54" s="40"/>
      <c r="B54" s="40"/>
      <c r="C54" s="40"/>
      <c r="D54" s="40"/>
      <c r="E54" s="40"/>
    </row>
    <row r="55" spans="1:5" ht="14" thickBot="1" x14ac:dyDescent="0.2">
      <c r="A55" s="57" t="s">
        <v>56</v>
      </c>
      <c r="B55" s="40"/>
      <c r="C55" s="40"/>
      <c r="D55" s="40"/>
      <c r="E55" s="58">
        <f>E51-E53</f>
        <v>141.47505000000001</v>
      </c>
    </row>
    <row r="58" spans="1:5" x14ac:dyDescent="0.15">
      <c r="A58" s="9" t="s">
        <v>57</v>
      </c>
    </row>
    <row r="59" spans="1:5" x14ac:dyDescent="0.15">
      <c r="A59" s="9" t="s">
        <v>208</v>
      </c>
    </row>
    <row r="60" spans="1:5" x14ac:dyDescent="0.15">
      <c r="A60" s="9" t="s">
        <v>324</v>
      </c>
    </row>
    <row r="61" spans="1:5" x14ac:dyDescent="0.15">
      <c r="A61" s="9" t="s">
        <v>256</v>
      </c>
    </row>
    <row r="62" spans="1:5" x14ac:dyDescent="0.15">
      <c r="A62" s="9" t="s">
        <v>257</v>
      </c>
    </row>
    <row r="63" spans="1:5" x14ac:dyDescent="0.15">
      <c r="A63" s="9"/>
    </row>
  </sheetData>
  <pageMargins left="0.75" right="0.75" top="1" bottom="1" header="0.5" footer="0.5"/>
  <pageSetup scale="72" orientation="portrait"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66"/>
  <sheetViews>
    <sheetView zoomScaleNormal="100" workbookViewId="0">
      <selection activeCell="A41" sqref="A41"/>
    </sheetView>
  </sheetViews>
  <sheetFormatPr baseColWidth="10" defaultColWidth="8.83203125" defaultRowHeight="13" x14ac:dyDescent="0.15"/>
  <cols>
    <col min="1" max="1" width="32.33203125" customWidth="1"/>
    <col min="2" max="2" width="8" bestFit="1" customWidth="1"/>
    <col min="3" max="3" width="7.1640625" bestFit="1" customWidth="1"/>
    <col min="4" max="4" width="7.83203125" bestFit="1" customWidth="1"/>
    <col min="5" max="5" width="9" bestFit="1" customWidth="1"/>
    <col min="6" max="6" width="4" customWidth="1"/>
    <col min="11" max="11" width="20.5" bestFit="1" customWidth="1"/>
  </cols>
  <sheetData>
    <row r="1" spans="1:13" ht="16" x14ac:dyDescent="0.2">
      <c r="A1" s="76" t="s">
        <v>58</v>
      </c>
      <c r="I1" s="2"/>
      <c r="J1" s="3"/>
      <c r="K1" s="7"/>
      <c r="L1" s="15"/>
      <c r="M1" s="7"/>
    </row>
    <row r="2" spans="1:13" s="7" customFormat="1" x14ac:dyDescent="0.15">
      <c r="A2" s="6" t="s">
        <v>255</v>
      </c>
    </row>
    <row r="3" spans="1:13" s="7" customFormat="1" x14ac:dyDescent="0.15">
      <c r="A3" s="6" t="s">
        <v>180</v>
      </c>
    </row>
    <row r="4" spans="1:13" x14ac:dyDescent="0.15">
      <c r="A4" s="59" t="s">
        <v>251</v>
      </c>
    </row>
    <row r="5" spans="1:13" x14ac:dyDescent="0.15">
      <c r="A5" s="59" t="s">
        <v>252</v>
      </c>
    </row>
    <row r="6" spans="1:13" ht="18.75" customHeight="1" x14ac:dyDescent="0.15">
      <c r="B6" s="60" t="s">
        <v>12</v>
      </c>
      <c r="C6" s="60" t="s">
        <v>13</v>
      </c>
      <c r="D6" s="60" t="s">
        <v>14</v>
      </c>
      <c r="E6" s="60" t="s">
        <v>15</v>
      </c>
    </row>
    <row r="7" spans="1:13" x14ac:dyDescent="0.15">
      <c r="A7" t="s">
        <v>16</v>
      </c>
      <c r="B7" s="16"/>
      <c r="G7" s="7"/>
      <c r="H7" s="7"/>
      <c r="I7" s="7"/>
      <c r="J7" s="7"/>
      <c r="K7" s="7"/>
    </row>
    <row r="8" spans="1:13" x14ac:dyDescent="0.15">
      <c r="A8" t="s">
        <v>60</v>
      </c>
      <c r="B8" s="81">
        <v>60</v>
      </c>
      <c r="C8" t="s">
        <v>18</v>
      </c>
      <c r="D8" s="17">
        <v>3</v>
      </c>
      <c r="E8" s="17">
        <f>B8*D8</f>
        <v>180</v>
      </c>
      <c r="F8" s="18" t="s">
        <v>77</v>
      </c>
      <c r="G8" s="7"/>
      <c r="H8" s="7"/>
      <c r="I8" s="7"/>
      <c r="J8" s="7"/>
      <c r="K8" s="7"/>
    </row>
    <row r="9" spans="1:13" ht="15" customHeight="1" x14ac:dyDescent="0.15">
      <c r="D9" s="17"/>
      <c r="E9" s="17">
        <f>B9*D9</f>
        <v>0</v>
      </c>
      <c r="G9" s="7"/>
      <c r="H9" s="7"/>
      <c r="I9" s="7"/>
      <c r="J9" s="7"/>
      <c r="K9" s="7"/>
    </row>
    <row r="10" spans="1:13" ht="15" customHeight="1" x14ac:dyDescent="0.15">
      <c r="A10" t="s">
        <v>61</v>
      </c>
      <c r="E10" s="19">
        <f>SUM(E8:E9)</f>
        <v>180</v>
      </c>
      <c r="G10" s="7"/>
      <c r="H10" s="7"/>
      <c r="I10" s="7"/>
      <c r="J10" s="7"/>
      <c r="K10" s="7"/>
    </row>
    <row r="11" spans="1:13" ht="15" customHeight="1" x14ac:dyDescent="0.15">
      <c r="E11" s="19"/>
      <c r="G11" s="7"/>
      <c r="H11" s="7"/>
      <c r="I11" s="7"/>
      <c r="J11" s="7"/>
      <c r="K11" s="7"/>
    </row>
    <row r="12" spans="1:13" x14ac:dyDescent="0.15">
      <c r="A12" s="61"/>
      <c r="B12" s="61"/>
      <c r="C12" s="61"/>
      <c r="D12" s="61"/>
      <c r="E12" s="61"/>
    </row>
    <row r="13" spans="1:13" ht="15" customHeight="1" x14ac:dyDescent="0.15">
      <c r="A13" s="2" t="s">
        <v>20</v>
      </c>
    </row>
    <row r="14" spans="1:13" x14ac:dyDescent="0.15">
      <c r="A14" t="s">
        <v>21</v>
      </c>
    </row>
    <row r="15" spans="1:13" x14ac:dyDescent="0.15">
      <c r="A15" t="s">
        <v>62</v>
      </c>
      <c r="B15" s="20">
        <v>100</v>
      </c>
      <c r="C15" t="s">
        <v>63</v>
      </c>
      <c r="D15" s="17">
        <v>0.18</v>
      </c>
      <c r="E15" s="17">
        <f t="shared" ref="E15:E23" si="0">B15*D15</f>
        <v>18</v>
      </c>
    </row>
    <row r="16" spans="1:13" x14ac:dyDescent="0.15">
      <c r="A16" t="s">
        <v>258</v>
      </c>
      <c r="B16">
        <v>1</v>
      </c>
      <c r="C16" t="s">
        <v>23</v>
      </c>
      <c r="D16" s="17">
        <v>0.4</v>
      </c>
      <c r="E16" s="17">
        <f t="shared" si="0"/>
        <v>0.4</v>
      </c>
    </row>
    <row r="17" spans="1:7" x14ac:dyDescent="0.15">
      <c r="A17" t="s">
        <v>65</v>
      </c>
      <c r="B17">
        <v>0.5</v>
      </c>
      <c r="C17" t="s">
        <v>23</v>
      </c>
      <c r="D17" s="17">
        <v>0.75</v>
      </c>
      <c r="E17" s="17">
        <f t="shared" si="0"/>
        <v>0.375</v>
      </c>
    </row>
    <row r="18" spans="1:7" x14ac:dyDescent="0.15">
      <c r="A18" t="s">
        <v>66</v>
      </c>
      <c r="B18" s="21">
        <v>5</v>
      </c>
      <c r="C18" t="s">
        <v>23</v>
      </c>
      <c r="D18" s="17">
        <v>0.6</v>
      </c>
      <c r="E18" s="17">
        <f t="shared" si="0"/>
        <v>3</v>
      </c>
    </row>
    <row r="19" spans="1:7" x14ac:dyDescent="0.15">
      <c r="A19" t="s">
        <v>67</v>
      </c>
      <c r="B19">
        <v>100</v>
      </c>
      <c r="C19" s="3" t="s">
        <v>59</v>
      </c>
      <c r="D19" s="17">
        <v>0.05</v>
      </c>
      <c r="E19" s="17">
        <f t="shared" si="0"/>
        <v>5</v>
      </c>
      <c r="F19" s="18" t="s">
        <v>28</v>
      </c>
    </row>
    <row r="20" spans="1:7" x14ac:dyDescent="0.15">
      <c r="A20" t="s">
        <v>68</v>
      </c>
      <c r="B20">
        <v>100</v>
      </c>
      <c r="C20" s="3" t="s">
        <v>59</v>
      </c>
      <c r="D20" s="17">
        <v>0.05</v>
      </c>
      <c r="E20" s="17">
        <f t="shared" si="0"/>
        <v>5</v>
      </c>
      <c r="F20" s="18" t="s">
        <v>28</v>
      </c>
    </row>
    <row r="21" spans="1:7" x14ac:dyDescent="0.15">
      <c r="A21" t="s">
        <v>31</v>
      </c>
      <c r="B21">
        <v>1</v>
      </c>
      <c r="C21" t="s">
        <v>30</v>
      </c>
      <c r="D21" s="17">
        <f>Hired_Labor+0.2</f>
        <v>16.7</v>
      </c>
      <c r="E21" s="17">
        <f t="shared" si="0"/>
        <v>16.7</v>
      </c>
      <c r="F21" s="18" t="s">
        <v>32</v>
      </c>
    </row>
    <row r="22" spans="1:7" x14ac:dyDescent="0.15">
      <c r="A22" t="s">
        <v>33</v>
      </c>
      <c r="B22">
        <v>1</v>
      </c>
      <c r="C22" t="s">
        <v>30</v>
      </c>
      <c r="D22" s="17">
        <f>0.75+(Operator_Labor*0.5)</f>
        <v>9</v>
      </c>
      <c r="E22" s="17">
        <f t="shared" si="0"/>
        <v>9</v>
      </c>
      <c r="F22" s="18" t="s">
        <v>32</v>
      </c>
      <c r="G22" s="3"/>
    </row>
    <row r="23" spans="1:7" x14ac:dyDescent="0.15">
      <c r="A23" t="s">
        <v>34</v>
      </c>
      <c r="B23">
        <v>1</v>
      </c>
      <c r="C23" t="s">
        <v>30</v>
      </c>
      <c r="D23" s="17">
        <f>0.5+(Operator_Labor*0.5)</f>
        <v>8.75</v>
      </c>
      <c r="E23" s="17">
        <f t="shared" si="0"/>
        <v>8.75</v>
      </c>
      <c r="F23" s="18" t="s">
        <v>32</v>
      </c>
      <c r="G23" s="3"/>
    </row>
    <row r="24" spans="1:7" x14ac:dyDescent="0.15">
      <c r="A24" t="s">
        <v>69</v>
      </c>
      <c r="B24">
        <v>2</v>
      </c>
      <c r="C24" t="s">
        <v>55</v>
      </c>
      <c r="D24" s="17">
        <v>0.65</v>
      </c>
      <c r="E24" s="17">
        <f>B24*D24</f>
        <v>1.3</v>
      </c>
      <c r="F24" s="18" t="s">
        <v>28</v>
      </c>
    </row>
    <row r="25" spans="1:7" x14ac:dyDescent="0.15">
      <c r="A25" s="3" t="s">
        <v>70</v>
      </c>
      <c r="B25">
        <v>1</v>
      </c>
      <c r="C25" t="s">
        <v>55</v>
      </c>
      <c r="D25" s="17">
        <f>Hired_Labor</f>
        <v>16.5</v>
      </c>
      <c r="E25" s="17">
        <f>B25*D25</f>
        <v>16.5</v>
      </c>
      <c r="F25" s="18"/>
    </row>
    <row r="26" spans="1:7" x14ac:dyDescent="0.15">
      <c r="A26" t="s">
        <v>35</v>
      </c>
      <c r="B26" s="62">
        <v>1</v>
      </c>
      <c r="C26" s="62" t="s">
        <v>30</v>
      </c>
      <c r="D26" s="63">
        <v>5.78</v>
      </c>
      <c r="E26" s="63">
        <f>B26*D26</f>
        <v>5.78</v>
      </c>
      <c r="F26" s="18" t="s">
        <v>36</v>
      </c>
    </row>
    <row r="27" spans="1:7" x14ac:dyDescent="0.15">
      <c r="A27" s="2" t="s">
        <v>37</v>
      </c>
      <c r="E27" s="19">
        <f>SUM(E15:E26)</f>
        <v>89.804999999999993</v>
      </c>
    </row>
    <row r="29" spans="1:7" x14ac:dyDescent="0.15">
      <c r="A29" s="61"/>
      <c r="B29" s="61"/>
      <c r="C29" s="61"/>
      <c r="D29" s="61"/>
      <c r="E29" s="61"/>
    </row>
    <row r="30" spans="1:7" ht="15" customHeight="1" x14ac:dyDescent="0.15">
      <c r="A30" s="2" t="s">
        <v>38</v>
      </c>
    </row>
    <row r="31" spans="1:7" x14ac:dyDescent="0.15">
      <c r="A31" t="s">
        <v>292</v>
      </c>
      <c r="B31">
        <v>0.5</v>
      </c>
      <c r="C31" t="s">
        <v>71</v>
      </c>
      <c r="D31" s="17">
        <f>Hired_Labor</f>
        <v>16.5</v>
      </c>
      <c r="E31" s="17">
        <f>B31*D31</f>
        <v>8.25</v>
      </c>
    </row>
    <row r="32" spans="1:7" x14ac:dyDescent="0.15">
      <c r="A32" t="s">
        <v>293</v>
      </c>
      <c r="B32" s="12">
        <v>1.2</v>
      </c>
      <c r="C32" t="s">
        <v>71</v>
      </c>
      <c r="D32" s="17">
        <f>Hired_Labor</f>
        <v>16.5</v>
      </c>
      <c r="E32" s="17">
        <f>B32*D32</f>
        <v>19.8</v>
      </c>
      <c r="F32" s="18" t="s">
        <v>72</v>
      </c>
      <c r="G32" s="3"/>
    </row>
    <row r="33" spans="1:7" x14ac:dyDescent="0.15">
      <c r="A33" t="s">
        <v>294</v>
      </c>
      <c r="B33" s="12"/>
      <c r="D33" s="17">
        <v>0</v>
      </c>
      <c r="E33" s="17">
        <f>B33*D33</f>
        <v>0</v>
      </c>
      <c r="F33" s="18"/>
      <c r="G33" s="3"/>
    </row>
    <row r="34" spans="1:7" x14ac:dyDescent="0.15">
      <c r="A34" t="s">
        <v>295</v>
      </c>
      <c r="B34" s="22">
        <v>3</v>
      </c>
      <c r="C34" t="s">
        <v>40</v>
      </c>
      <c r="D34" s="17">
        <v>1.5</v>
      </c>
      <c r="E34" s="17">
        <f>B34*D34</f>
        <v>4.5</v>
      </c>
      <c r="F34" s="18"/>
      <c r="G34" s="3"/>
    </row>
    <row r="35" spans="1:7" x14ac:dyDescent="0.15">
      <c r="A35" t="s">
        <v>125</v>
      </c>
      <c r="B35" s="23">
        <f>Marketing_Pct</f>
        <v>0.1</v>
      </c>
      <c r="C35" t="s">
        <v>41</v>
      </c>
      <c r="D35" s="17"/>
      <c r="E35" s="17">
        <f>B35*E10</f>
        <v>18</v>
      </c>
    </row>
    <row r="36" spans="1:7" x14ac:dyDescent="0.15">
      <c r="A36" t="s">
        <v>73</v>
      </c>
      <c r="B36" s="64">
        <v>1</v>
      </c>
      <c r="C36" s="65" t="s">
        <v>30</v>
      </c>
      <c r="D36" s="63">
        <v>0</v>
      </c>
      <c r="E36" s="63">
        <f>B36*D36</f>
        <v>0</v>
      </c>
      <c r="F36" s="18"/>
    </row>
    <row r="37" spans="1:7" x14ac:dyDescent="0.15">
      <c r="A37" s="2" t="s">
        <v>42</v>
      </c>
      <c r="E37" s="19">
        <f>SUM(E31:E36)</f>
        <v>50.55</v>
      </c>
    </row>
    <row r="39" spans="1:7" x14ac:dyDescent="0.15">
      <c r="A39" t="s">
        <v>43</v>
      </c>
      <c r="E39" s="24">
        <f>(Interest_Pct*0.5*E27)+(Interest_Pct*0.25*E37)</f>
        <v>3.4523999999999995</v>
      </c>
    </row>
    <row r="41" spans="1:7" x14ac:dyDescent="0.15">
      <c r="A41" s="2" t="s">
        <v>44</v>
      </c>
      <c r="B41" s="2"/>
      <c r="C41" s="2"/>
      <c r="D41" s="2"/>
      <c r="E41" s="19">
        <f>SUM(E27+E37+E39)</f>
        <v>143.8074</v>
      </c>
    </row>
    <row r="43" spans="1:7" x14ac:dyDescent="0.15">
      <c r="A43" s="66" t="s">
        <v>45</v>
      </c>
      <c r="B43" s="67"/>
      <c r="C43" s="67"/>
      <c r="D43" s="67"/>
      <c r="E43" s="68">
        <f>E10-E41</f>
        <v>36.192599999999999</v>
      </c>
    </row>
    <row r="45" spans="1:7" x14ac:dyDescent="0.15">
      <c r="A45" s="61"/>
      <c r="B45" s="61"/>
      <c r="C45" s="61"/>
      <c r="D45" s="61"/>
      <c r="E45" s="61"/>
    </row>
    <row r="46" spans="1:7" ht="15" customHeight="1" x14ac:dyDescent="0.15">
      <c r="A46" s="2" t="s">
        <v>46</v>
      </c>
    </row>
    <row r="47" spans="1:7" x14ac:dyDescent="0.15">
      <c r="A47" t="s">
        <v>47</v>
      </c>
      <c r="E47" s="17">
        <v>10.08</v>
      </c>
      <c r="F47" s="18" t="s">
        <v>36</v>
      </c>
    </row>
    <row r="48" spans="1:7" x14ac:dyDescent="0.15">
      <c r="A48" t="s">
        <v>48</v>
      </c>
      <c r="E48" s="17">
        <f>481.09*0.02</f>
        <v>9.6218000000000004</v>
      </c>
      <c r="F48" t="s">
        <v>28</v>
      </c>
    </row>
    <row r="49" spans="1:5" x14ac:dyDescent="0.15">
      <c r="A49" t="s">
        <v>49</v>
      </c>
      <c r="E49" s="17">
        <v>1</v>
      </c>
    </row>
    <row r="50" spans="1:5" x14ac:dyDescent="0.15">
      <c r="A50" t="s">
        <v>50</v>
      </c>
      <c r="E50" s="17">
        <f>0.01*E41</f>
        <v>1.4380740000000001</v>
      </c>
    </row>
    <row r="51" spans="1:5" x14ac:dyDescent="0.15">
      <c r="A51" s="2" t="s">
        <v>51</v>
      </c>
      <c r="B51" s="62"/>
      <c r="C51" s="62"/>
      <c r="D51" s="62"/>
      <c r="E51" s="69">
        <f>SUM(E47:E50)</f>
        <v>22.139873999999999</v>
      </c>
    </row>
    <row r="53" spans="1:5" x14ac:dyDescent="0.15">
      <c r="A53" s="2" t="s">
        <v>52</v>
      </c>
      <c r="E53" s="19">
        <f>E41+E51</f>
        <v>165.94727399999999</v>
      </c>
    </row>
    <row r="55" spans="1:5" x14ac:dyDescent="0.15">
      <c r="A55" s="67" t="s">
        <v>53</v>
      </c>
      <c r="B55" s="67"/>
      <c r="C55" s="67"/>
      <c r="D55" s="67"/>
      <c r="E55" s="70">
        <f>E10-E53</f>
        <v>14.052726000000007</v>
      </c>
    </row>
    <row r="57" spans="1:5" x14ac:dyDescent="0.15">
      <c r="A57" s="3" t="s">
        <v>54</v>
      </c>
      <c r="B57">
        <v>2</v>
      </c>
      <c r="C57" t="s">
        <v>55</v>
      </c>
      <c r="D57" s="17">
        <f>Operator_Labor</f>
        <v>16.5</v>
      </c>
      <c r="E57" s="17">
        <f>B57*D57</f>
        <v>33</v>
      </c>
    </row>
    <row r="58" spans="1:5" ht="14" thickBot="1" x14ac:dyDescent="0.2">
      <c r="A58" s="1"/>
      <c r="B58" s="1"/>
      <c r="C58" s="1"/>
      <c r="D58" s="1"/>
      <c r="E58" s="1"/>
    </row>
    <row r="59" spans="1:5" ht="14" thickBot="1" x14ac:dyDescent="0.2">
      <c r="A59" s="71" t="s">
        <v>56</v>
      </c>
      <c r="B59" s="1"/>
      <c r="C59" s="1"/>
      <c r="D59" s="1"/>
      <c r="E59" s="72">
        <f>E55-E57</f>
        <v>-18.947273999999993</v>
      </c>
    </row>
    <row r="61" spans="1:5" x14ac:dyDescent="0.15">
      <c r="A61" s="18" t="s">
        <v>75</v>
      </c>
    </row>
    <row r="62" spans="1:5" x14ac:dyDescent="0.15">
      <c r="A62" s="18" t="s">
        <v>259</v>
      </c>
    </row>
    <row r="63" spans="1:5" x14ac:dyDescent="0.15">
      <c r="A63" s="18" t="s">
        <v>76</v>
      </c>
    </row>
    <row r="64" spans="1:5" x14ac:dyDescent="0.15">
      <c r="A64" s="18" t="s">
        <v>256</v>
      </c>
    </row>
    <row r="65" spans="1:1" x14ac:dyDescent="0.15">
      <c r="A65" s="9" t="s">
        <v>257</v>
      </c>
    </row>
    <row r="66" spans="1:1" x14ac:dyDescent="0.15">
      <c r="A66" s="18" t="s">
        <v>212</v>
      </c>
    </row>
  </sheetData>
  <pageMargins left="0.75" right="0.75" top="1" bottom="1" header="0.5" footer="0.5"/>
  <pageSetup scale="77"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65"/>
  <sheetViews>
    <sheetView zoomScaleNormal="100" workbookViewId="0">
      <selection activeCell="L18" sqref="L18"/>
    </sheetView>
  </sheetViews>
  <sheetFormatPr baseColWidth="10" defaultColWidth="8.83203125" defaultRowHeight="13" x14ac:dyDescent="0.15"/>
  <cols>
    <col min="1" max="1" width="32.33203125" customWidth="1"/>
    <col min="2" max="2" width="8.1640625" bestFit="1" customWidth="1"/>
    <col min="3" max="3" width="7.33203125" bestFit="1" customWidth="1"/>
    <col min="4" max="4" width="8.1640625" bestFit="1" customWidth="1"/>
    <col min="5" max="5" width="9.1640625" bestFit="1" customWidth="1"/>
    <col min="6" max="6" width="3.1640625" customWidth="1"/>
    <col min="11" max="11" width="20.5" bestFit="1" customWidth="1"/>
  </cols>
  <sheetData>
    <row r="1" spans="1:13" ht="16" x14ac:dyDescent="0.2">
      <c r="A1" s="76" t="s">
        <v>78</v>
      </c>
      <c r="I1" s="2"/>
      <c r="J1" s="3"/>
      <c r="K1" s="7"/>
      <c r="L1" s="15"/>
      <c r="M1" s="7"/>
    </row>
    <row r="2" spans="1:13" s="7" customFormat="1" x14ac:dyDescent="0.15">
      <c r="A2" s="6" t="s">
        <v>255</v>
      </c>
    </row>
    <row r="3" spans="1:13" s="7" customFormat="1" x14ac:dyDescent="0.15">
      <c r="A3" s="6" t="s">
        <v>180</v>
      </c>
    </row>
    <row r="4" spans="1:13" x14ac:dyDescent="0.15">
      <c r="A4" s="59" t="s">
        <v>251</v>
      </c>
    </row>
    <row r="5" spans="1:13" x14ac:dyDescent="0.15">
      <c r="A5" s="59" t="s">
        <v>252</v>
      </c>
    </row>
    <row r="6" spans="1:13" ht="18.75" customHeight="1" x14ac:dyDescent="0.15">
      <c r="B6" s="105" t="s">
        <v>12</v>
      </c>
      <c r="C6" s="105" t="s">
        <v>13</v>
      </c>
      <c r="D6" s="105" t="s">
        <v>14</v>
      </c>
      <c r="E6" s="105" t="s">
        <v>15</v>
      </c>
    </row>
    <row r="7" spans="1:13" x14ac:dyDescent="0.15">
      <c r="A7" s="2" t="s">
        <v>16</v>
      </c>
      <c r="B7" s="94"/>
      <c r="C7" s="87"/>
      <c r="D7" s="87"/>
      <c r="E7" s="87"/>
      <c r="G7" s="7"/>
      <c r="H7" s="7"/>
      <c r="I7" s="7"/>
      <c r="J7" s="7"/>
      <c r="K7" s="7"/>
    </row>
    <row r="8" spans="1:13" x14ac:dyDescent="0.15">
      <c r="A8" t="s">
        <v>79</v>
      </c>
      <c r="B8" s="96">
        <v>200</v>
      </c>
      <c r="C8" s="87" t="s">
        <v>18</v>
      </c>
      <c r="D8" s="90">
        <v>1</v>
      </c>
      <c r="E8" s="90">
        <f>B8*D8</f>
        <v>200</v>
      </c>
      <c r="F8" s="18" t="s">
        <v>77</v>
      </c>
      <c r="G8" s="7"/>
      <c r="H8" s="7"/>
      <c r="I8" s="7"/>
      <c r="J8" s="7"/>
      <c r="K8" s="7"/>
    </row>
    <row r="9" spans="1:13" x14ac:dyDescent="0.15">
      <c r="B9" s="96"/>
      <c r="C9" s="87"/>
      <c r="D9" s="90"/>
      <c r="E9" s="90">
        <f>B9*D9</f>
        <v>0</v>
      </c>
      <c r="F9" s="18"/>
      <c r="G9" s="7"/>
      <c r="H9" s="7"/>
      <c r="I9" s="7"/>
      <c r="J9" s="7"/>
      <c r="K9" s="7"/>
    </row>
    <row r="10" spans="1:13" ht="15" customHeight="1" x14ac:dyDescent="0.15">
      <c r="A10" t="s">
        <v>61</v>
      </c>
      <c r="B10" s="87"/>
      <c r="C10" s="87"/>
      <c r="D10" s="87"/>
      <c r="E10" s="91">
        <f>SUM(E8:E9)</f>
        <v>200</v>
      </c>
      <c r="G10" s="7"/>
      <c r="H10" s="7"/>
      <c r="I10" s="7"/>
      <c r="J10" s="7"/>
      <c r="K10" s="7"/>
    </row>
    <row r="11" spans="1:13" ht="15" customHeight="1" x14ac:dyDescent="0.15">
      <c r="E11" s="19"/>
      <c r="G11" s="7"/>
      <c r="H11" s="7"/>
      <c r="I11" s="7"/>
      <c r="J11" s="7"/>
      <c r="K11" s="7"/>
    </row>
    <row r="12" spans="1:13" x14ac:dyDescent="0.15">
      <c r="A12" s="61"/>
      <c r="B12" s="61"/>
      <c r="C12" s="61"/>
      <c r="D12" s="61"/>
      <c r="E12" s="61"/>
    </row>
    <row r="13" spans="1:13" ht="15" customHeight="1" x14ac:dyDescent="0.15">
      <c r="A13" s="2" t="s">
        <v>20</v>
      </c>
      <c r="D13" s="17"/>
    </row>
    <row r="14" spans="1:13" x14ac:dyDescent="0.15">
      <c r="A14" t="s">
        <v>21</v>
      </c>
      <c r="D14" s="17"/>
    </row>
    <row r="15" spans="1:13" x14ac:dyDescent="0.15">
      <c r="A15" t="s">
        <v>80</v>
      </c>
      <c r="B15" s="27">
        <v>100</v>
      </c>
      <c r="C15" t="s">
        <v>63</v>
      </c>
      <c r="D15" s="17">
        <v>0.15</v>
      </c>
      <c r="E15" s="17">
        <f t="shared" ref="E15:E23" si="0">B15*D15</f>
        <v>15</v>
      </c>
    </row>
    <row r="16" spans="1:13" x14ac:dyDescent="0.15">
      <c r="A16" t="s">
        <v>64</v>
      </c>
      <c r="B16">
        <v>1</v>
      </c>
      <c r="C16" t="s">
        <v>23</v>
      </c>
      <c r="D16" s="17">
        <v>0.4</v>
      </c>
      <c r="E16" s="17">
        <f t="shared" si="0"/>
        <v>0.4</v>
      </c>
    </row>
    <row r="17" spans="1:7" x14ac:dyDescent="0.15">
      <c r="A17" t="s">
        <v>65</v>
      </c>
      <c r="B17">
        <v>0.5</v>
      </c>
      <c r="C17" t="s">
        <v>23</v>
      </c>
      <c r="D17" s="17">
        <v>0.6</v>
      </c>
      <c r="E17" s="17">
        <f t="shared" si="0"/>
        <v>0.3</v>
      </c>
    </row>
    <row r="18" spans="1:7" x14ac:dyDescent="0.15">
      <c r="A18" t="s">
        <v>66</v>
      </c>
      <c r="B18" s="21">
        <v>5</v>
      </c>
      <c r="C18" t="s">
        <v>23</v>
      </c>
      <c r="D18" s="17">
        <v>0.45</v>
      </c>
      <c r="E18" s="17">
        <f t="shared" si="0"/>
        <v>2.25</v>
      </c>
    </row>
    <row r="19" spans="1:7" x14ac:dyDescent="0.15">
      <c r="A19" t="s">
        <v>67</v>
      </c>
      <c r="B19">
        <v>100</v>
      </c>
      <c r="C19" s="3" t="s">
        <v>59</v>
      </c>
      <c r="D19" s="26">
        <v>0.05</v>
      </c>
      <c r="E19" s="17">
        <f t="shared" si="0"/>
        <v>5</v>
      </c>
      <c r="F19" s="18" t="s">
        <v>28</v>
      </c>
    </row>
    <row r="20" spans="1:7" x14ac:dyDescent="0.15">
      <c r="A20" t="s">
        <v>68</v>
      </c>
      <c r="B20">
        <v>100</v>
      </c>
      <c r="C20" s="3" t="s">
        <v>59</v>
      </c>
      <c r="D20" s="26">
        <v>0.05</v>
      </c>
      <c r="E20" s="17">
        <f t="shared" si="0"/>
        <v>5</v>
      </c>
      <c r="F20" s="18" t="s">
        <v>28</v>
      </c>
    </row>
    <row r="21" spans="1:7" x14ac:dyDescent="0.15">
      <c r="A21" t="s">
        <v>31</v>
      </c>
      <c r="B21">
        <v>1</v>
      </c>
      <c r="C21" t="s">
        <v>30</v>
      </c>
      <c r="D21" s="17">
        <f>Hired_Labor+0.2</f>
        <v>16.7</v>
      </c>
      <c r="E21" s="17">
        <f t="shared" si="0"/>
        <v>16.7</v>
      </c>
      <c r="F21" s="18" t="s">
        <v>32</v>
      </c>
    </row>
    <row r="22" spans="1:7" x14ac:dyDescent="0.15">
      <c r="A22" t="s">
        <v>33</v>
      </c>
      <c r="B22">
        <v>1</v>
      </c>
      <c r="C22" t="s">
        <v>30</v>
      </c>
      <c r="D22" s="17">
        <f>0.75+(Operator_Labor*0.5)</f>
        <v>9</v>
      </c>
      <c r="E22" s="17">
        <f t="shared" si="0"/>
        <v>9</v>
      </c>
      <c r="F22" s="18" t="s">
        <v>32</v>
      </c>
      <c r="G22" s="3"/>
    </row>
    <row r="23" spans="1:7" x14ac:dyDescent="0.15">
      <c r="A23" t="s">
        <v>34</v>
      </c>
      <c r="B23">
        <v>1</v>
      </c>
      <c r="C23" t="s">
        <v>30</v>
      </c>
      <c r="D23" s="17">
        <f>0.5+(Operator_Labor*0.5)</f>
        <v>8.75</v>
      </c>
      <c r="E23" s="17">
        <f t="shared" si="0"/>
        <v>8.75</v>
      </c>
      <c r="F23" s="18" t="s">
        <v>32</v>
      </c>
      <c r="G23" s="3"/>
    </row>
    <row r="24" spans="1:7" x14ac:dyDescent="0.15">
      <c r="A24" t="s">
        <v>69</v>
      </c>
      <c r="B24">
        <v>2</v>
      </c>
      <c r="C24" t="s">
        <v>55</v>
      </c>
      <c r="D24" s="17">
        <v>0.65</v>
      </c>
      <c r="E24" s="17">
        <f>B24*D24</f>
        <v>1.3</v>
      </c>
      <c r="F24" s="18" t="s">
        <v>28</v>
      </c>
    </row>
    <row r="25" spans="1:7" x14ac:dyDescent="0.15">
      <c r="A25" s="3" t="s">
        <v>326</v>
      </c>
      <c r="B25">
        <v>1</v>
      </c>
      <c r="C25" t="s">
        <v>55</v>
      </c>
      <c r="D25" s="17">
        <f>Hired_Labor</f>
        <v>16.5</v>
      </c>
      <c r="E25" s="17">
        <f>B25*D25</f>
        <v>16.5</v>
      </c>
      <c r="F25" s="18"/>
    </row>
    <row r="26" spans="1:7" x14ac:dyDescent="0.15">
      <c r="A26" t="s">
        <v>35</v>
      </c>
      <c r="B26" s="62">
        <v>1</v>
      </c>
      <c r="C26" s="62" t="s">
        <v>30</v>
      </c>
      <c r="D26" s="63">
        <v>5.78</v>
      </c>
      <c r="E26" s="63">
        <f>B26*D26</f>
        <v>5.78</v>
      </c>
      <c r="F26" s="18" t="s">
        <v>36</v>
      </c>
    </row>
    <row r="27" spans="1:7" x14ac:dyDescent="0.15">
      <c r="A27" s="2" t="s">
        <v>37</v>
      </c>
      <c r="D27" s="17"/>
      <c r="E27" s="19">
        <f>SUM(E15:E26)</f>
        <v>85.98</v>
      </c>
    </row>
    <row r="28" spans="1:7" x14ac:dyDescent="0.15">
      <c r="A28" s="2"/>
      <c r="D28" s="17"/>
      <c r="E28" s="19"/>
    </row>
    <row r="29" spans="1:7" x14ac:dyDescent="0.15">
      <c r="A29" s="61"/>
      <c r="B29" s="61"/>
      <c r="C29" s="61"/>
      <c r="D29" s="74"/>
      <c r="E29" s="61"/>
    </row>
    <row r="30" spans="1:7" ht="15" customHeight="1" x14ac:dyDescent="0.15">
      <c r="A30" s="2" t="s">
        <v>38</v>
      </c>
    </row>
    <row r="31" spans="1:7" x14ac:dyDescent="0.15">
      <c r="A31" t="s">
        <v>292</v>
      </c>
      <c r="B31">
        <v>0.5</v>
      </c>
      <c r="C31" t="s">
        <v>71</v>
      </c>
      <c r="D31" s="17">
        <f>Hired_Labor</f>
        <v>16.5</v>
      </c>
      <c r="E31" s="17">
        <f>B31*D31</f>
        <v>8.25</v>
      </c>
    </row>
    <row r="32" spans="1:7" x14ac:dyDescent="0.15">
      <c r="A32" t="s">
        <v>293</v>
      </c>
      <c r="B32" s="11">
        <v>1.5</v>
      </c>
      <c r="C32" t="s">
        <v>71</v>
      </c>
      <c r="D32" s="17">
        <f>Hired_Labor</f>
        <v>16.5</v>
      </c>
      <c r="E32" s="17">
        <f>B32*D32</f>
        <v>24.75</v>
      </c>
      <c r="F32" s="18" t="s">
        <v>72</v>
      </c>
      <c r="G32" s="3"/>
    </row>
    <row r="33" spans="1:7" x14ac:dyDescent="0.15">
      <c r="A33" t="s">
        <v>294</v>
      </c>
      <c r="B33" s="12"/>
      <c r="D33" s="17">
        <v>0</v>
      </c>
      <c r="E33" s="17">
        <f>B33*D33</f>
        <v>0</v>
      </c>
      <c r="F33" s="18"/>
      <c r="G33" s="3"/>
    </row>
    <row r="34" spans="1:7" x14ac:dyDescent="0.15">
      <c r="A34" t="s">
        <v>295</v>
      </c>
      <c r="B34" s="22">
        <v>4</v>
      </c>
      <c r="C34" t="s">
        <v>40</v>
      </c>
      <c r="D34" s="17">
        <v>1.5</v>
      </c>
      <c r="E34" s="17">
        <f>B34*D34</f>
        <v>6</v>
      </c>
      <c r="F34" s="18"/>
      <c r="G34" s="3"/>
    </row>
    <row r="35" spans="1:7" x14ac:dyDescent="0.15">
      <c r="A35" t="s">
        <v>125</v>
      </c>
      <c r="B35" s="23">
        <f>Marketing_Pct</f>
        <v>0.1</v>
      </c>
      <c r="C35" t="s">
        <v>41</v>
      </c>
      <c r="D35" s="17"/>
      <c r="E35" s="17">
        <f>B35*E10</f>
        <v>20</v>
      </c>
    </row>
    <row r="36" spans="1:7" x14ac:dyDescent="0.15">
      <c r="A36" t="s">
        <v>73</v>
      </c>
      <c r="B36" s="64">
        <v>1</v>
      </c>
      <c r="C36" s="65" t="s">
        <v>30</v>
      </c>
      <c r="D36" s="63">
        <v>0</v>
      </c>
      <c r="E36" s="63">
        <f>B36*D36</f>
        <v>0</v>
      </c>
      <c r="F36" s="18"/>
    </row>
    <row r="37" spans="1:7" x14ac:dyDescent="0.15">
      <c r="A37" s="2" t="s">
        <v>42</v>
      </c>
      <c r="E37" s="19">
        <f>SUM(E31:E36)</f>
        <v>59</v>
      </c>
    </row>
    <row r="39" spans="1:7" x14ac:dyDescent="0.15">
      <c r="A39" t="s">
        <v>43</v>
      </c>
      <c r="E39" s="24">
        <f>(Interest_Pct*0.5*E27)+(Interest_Pct*0.25*E37)</f>
        <v>3.4644000000000004</v>
      </c>
    </row>
    <row r="41" spans="1:7" x14ac:dyDescent="0.15">
      <c r="A41" s="2" t="s">
        <v>44</v>
      </c>
      <c r="B41" s="2"/>
      <c r="C41" s="2"/>
      <c r="D41" s="2"/>
      <c r="E41" s="19">
        <f>SUM(E27+E37+E39)</f>
        <v>148.44440000000003</v>
      </c>
    </row>
    <row r="43" spans="1:7" x14ac:dyDescent="0.15">
      <c r="A43" s="66" t="s">
        <v>45</v>
      </c>
      <c r="B43" s="67"/>
      <c r="C43" s="67"/>
      <c r="D43" s="67"/>
      <c r="E43" s="68">
        <f>E10-E41</f>
        <v>51.55559999999997</v>
      </c>
    </row>
    <row r="44" spans="1:7" x14ac:dyDescent="0.15">
      <c r="A44" s="61"/>
      <c r="B44" s="61"/>
      <c r="C44" s="61"/>
      <c r="D44" s="61"/>
      <c r="E44" s="61"/>
    </row>
    <row r="45" spans="1:7" ht="15" customHeight="1" x14ac:dyDescent="0.15">
      <c r="A45" s="2" t="s">
        <v>46</v>
      </c>
    </row>
    <row r="46" spans="1:7" x14ac:dyDescent="0.15">
      <c r="A46" t="s">
        <v>47</v>
      </c>
      <c r="E46" s="17">
        <v>10.08</v>
      </c>
      <c r="F46" s="18" t="s">
        <v>36</v>
      </c>
    </row>
    <row r="47" spans="1:7" x14ac:dyDescent="0.15">
      <c r="A47" t="s">
        <v>48</v>
      </c>
      <c r="E47" s="17">
        <f>481.09*0.02</f>
        <v>9.6218000000000004</v>
      </c>
      <c r="F47" t="s">
        <v>28</v>
      </c>
    </row>
    <row r="48" spans="1:7" x14ac:dyDescent="0.15">
      <c r="A48" t="s">
        <v>49</v>
      </c>
      <c r="E48" s="17">
        <v>1</v>
      </c>
    </row>
    <row r="49" spans="1:5" x14ac:dyDescent="0.15">
      <c r="A49" t="s">
        <v>50</v>
      </c>
      <c r="B49" s="62"/>
      <c r="C49" s="62"/>
      <c r="D49" s="62"/>
      <c r="E49" s="63">
        <f>0.01*E41</f>
        <v>1.4844440000000003</v>
      </c>
    </row>
    <row r="50" spans="1:5" x14ac:dyDescent="0.15">
      <c r="A50" s="2" t="s">
        <v>51</v>
      </c>
      <c r="E50" s="25">
        <f>SUM(E46:E49)</f>
        <v>22.186243999999999</v>
      </c>
    </row>
    <row r="52" spans="1:5" x14ac:dyDescent="0.15">
      <c r="A52" s="2" t="s">
        <v>52</v>
      </c>
      <c r="E52" s="19">
        <f>E41+E50</f>
        <v>170.63064400000002</v>
      </c>
    </row>
    <row r="54" spans="1:5" x14ac:dyDescent="0.15">
      <c r="A54" s="67" t="s">
        <v>53</v>
      </c>
      <c r="B54" s="67"/>
      <c r="C54" s="67"/>
      <c r="D54" s="67"/>
      <c r="E54" s="70">
        <f>E10-E52</f>
        <v>29.369355999999982</v>
      </c>
    </row>
    <row r="56" spans="1:5" x14ac:dyDescent="0.15">
      <c r="A56" s="3" t="s">
        <v>54</v>
      </c>
      <c r="B56">
        <v>2</v>
      </c>
      <c r="C56" t="s">
        <v>55</v>
      </c>
      <c r="D56" s="17">
        <f>Operator_Labor</f>
        <v>16.5</v>
      </c>
      <c r="E56" s="17">
        <f>B56*D56</f>
        <v>33</v>
      </c>
    </row>
    <row r="57" spans="1:5" ht="14" thickBot="1" x14ac:dyDescent="0.2">
      <c r="A57" s="1"/>
      <c r="B57" s="1"/>
      <c r="C57" s="1"/>
      <c r="D57" s="1"/>
      <c r="E57" s="1"/>
    </row>
    <row r="58" spans="1:5" ht="14" thickBot="1" x14ac:dyDescent="0.2">
      <c r="A58" s="71" t="s">
        <v>56</v>
      </c>
      <c r="B58" s="1"/>
      <c r="C58" s="1"/>
      <c r="D58" s="1"/>
      <c r="E58" s="72">
        <f>E54-E56</f>
        <v>-3.630644000000018</v>
      </c>
    </row>
    <row r="60" spans="1:5" x14ac:dyDescent="0.15">
      <c r="A60" s="18" t="s">
        <v>75</v>
      </c>
    </row>
    <row r="61" spans="1:5" x14ac:dyDescent="0.15">
      <c r="A61" s="18" t="s">
        <v>259</v>
      </c>
    </row>
    <row r="62" spans="1:5" x14ac:dyDescent="0.15">
      <c r="A62" s="18" t="s">
        <v>76</v>
      </c>
    </row>
    <row r="63" spans="1:5" x14ac:dyDescent="0.15">
      <c r="A63" s="18" t="s">
        <v>256</v>
      </c>
    </row>
    <row r="64" spans="1:5" x14ac:dyDescent="0.15">
      <c r="A64" s="9" t="s">
        <v>257</v>
      </c>
    </row>
    <row r="65" spans="1:1" x14ac:dyDescent="0.15">
      <c r="A65" s="18" t="s">
        <v>212</v>
      </c>
    </row>
  </sheetData>
  <pageMargins left="0.75" right="0.75" top="1" bottom="1" header="0.5" footer="0.5"/>
  <pageSetup scale="77"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I70"/>
  <sheetViews>
    <sheetView zoomScaleNormal="100" workbookViewId="0">
      <selection activeCell="I24" sqref="I24"/>
    </sheetView>
  </sheetViews>
  <sheetFormatPr baseColWidth="10" defaultColWidth="8.83203125" defaultRowHeight="13" x14ac:dyDescent="0.15"/>
  <cols>
    <col min="1" max="1" width="48.6640625" customWidth="1"/>
    <col min="2" max="2" width="8" bestFit="1" customWidth="1"/>
    <col min="3" max="3" width="7" customWidth="1"/>
    <col min="4" max="4" width="9.1640625" bestFit="1" customWidth="1"/>
    <col min="5" max="5" width="10.6640625" bestFit="1" customWidth="1"/>
  </cols>
  <sheetData>
    <row r="1" spans="1:9" ht="16" x14ac:dyDescent="0.2">
      <c r="A1" s="76" t="s">
        <v>82</v>
      </c>
      <c r="I1" s="3"/>
    </row>
    <row r="2" spans="1:9" x14ac:dyDescent="0.15">
      <c r="A2" s="2" t="s">
        <v>255</v>
      </c>
    </row>
    <row r="3" spans="1:9" x14ac:dyDescent="0.15">
      <c r="A3" s="2" t="s">
        <v>196</v>
      </c>
    </row>
    <row r="4" spans="1:9" x14ac:dyDescent="0.15">
      <c r="A4" s="59" t="s">
        <v>230</v>
      </c>
    </row>
    <row r="5" spans="1:9" x14ac:dyDescent="0.15">
      <c r="A5" s="59" t="s">
        <v>229</v>
      </c>
    </row>
    <row r="6" spans="1:9" ht="18.75" customHeight="1" x14ac:dyDescent="0.15">
      <c r="B6" s="105" t="s">
        <v>12</v>
      </c>
      <c r="C6" s="105" t="s">
        <v>13</v>
      </c>
      <c r="D6" s="105" t="s">
        <v>14</v>
      </c>
      <c r="E6" s="105" t="s">
        <v>15</v>
      </c>
    </row>
    <row r="7" spans="1:9" x14ac:dyDescent="0.15">
      <c r="A7" s="2" t="s">
        <v>16</v>
      </c>
      <c r="B7" s="94"/>
      <c r="C7" s="87"/>
      <c r="D7" s="87"/>
      <c r="E7" s="87"/>
    </row>
    <row r="8" spans="1:9" x14ac:dyDescent="0.15">
      <c r="A8" t="s">
        <v>83</v>
      </c>
      <c r="B8" s="89">
        <v>700</v>
      </c>
      <c r="C8" s="87" t="s">
        <v>84</v>
      </c>
      <c r="D8" s="90">
        <v>3</v>
      </c>
      <c r="E8" s="90">
        <f>B8*D8</f>
        <v>2100</v>
      </c>
      <c r="F8" s="18" t="s">
        <v>77</v>
      </c>
    </row>
    <row r="9" spans="1:9" x14ac:dyDescent="0.15">
      <c r="B9" s="87"/>
      <c r="C9" s="87"/>
      <c r="D9" s="90"/>
      <c r="E9" s="90">
        <f>B9*D9</f>
        <v>0</v>
      </c>
    </row>
    <row r="10" spans="1:9" ht="15" customHeight="1" x14ac:dyDescent="0.15">
      <c r="A10" t="s">
        <v>61</v>
      </c>
      <c r="B10" s="87"/>
      <c r="C10" s="87"/>
      <c r="D10" s="87"/>
      <c r="E10" s="91">
        <f>SUM(E8:E9)</f>
        <v>2100</v>
      </c>
    </row>
    <row r="11" spans="1:9" ht="11" customHeight="1" x14ac:dyDescent="0.15">
      <c r="E11" s="19"/>
    </row>
    <row r="12" spans="1:9" x14ac:dyDescent="0.15">
      <c r="A12" s="61"/>
      <c r="B12" s="61"/>
      <c r="C12" s="61"/>
      <c r="D12" s="61"/>
      <c r="E12" s="61"/>
    </row>
    <row r="13" spans="1:9" ht="16" customHeight="1" x14ac:dyDescent="0.15">
      <c r="A13" s="2" t="s">
        <v>20</v>
      </c>
    </row>
    <row r="14" spans="1:9" x14ac:dyDescent="0.15">
      <c r="A14" t="s">
        <v>21</v>
      </c>
    </row>
    <row r="15" spans="1:9" x14ac:dyDescent="0.15">
      <c r="A15" t="s">
        <v>85</v>
      </c>
      <c r="B15" s="28">
        <v>350</v>
      </c>
      <c r="C15" t="s">
        <v>86</v>
      </c>
      <c r="D15" s="17">
        <v>0.18</v>
      </c>
      <c r="E15" s="17">
        <f t="shared" ref="E15:E24" si="0">B15*D15</f>
        <v>63</v>
      </c>
    </row>
    <row r="16" spans="1:9" x14ac:dyDescent="0.15">
      <c r="A16" s="3" t="s">
        <v>87</v>
      </c>
      <c r="B16" s="28">
        <f>B15</f>
        <v>350</v>
      </c>
      <c r="C16" t="s">
        <v>63</v>
      </c>
      <c r="D16" s="17">
        <v>0.15</v>
      </c>
      <c r="E16" s="17">
        <f t="shared" si="0"/>
        <v>52.5</v>
      </c>
    </row>
    <row r="17" spans="1:7" x14ac:dyDescent="0.15">
      <c r="A17" t="s">
        <v>64</v>
      </c>
      <c r="B17">
        <v>13</v>
      </c>
      <c r="C17" t="s">
        <v>23</v>
      </c>
      <c r="D17" s="17">
        <v>0.4</v>
      </c>
      <c r="E17" s="17">
        <f t="shared" si="0"/>
        <v>5.2</v>
      </c>
    </row>
    <row r="18" spans="1:7" x14ac:dyDescent="0.15">
      <c r="A18" t="s">
        <v>88</v>
      </c>
      <c r="B18">
        <v>10</v>
      </c>
      <c r="C18" t="s">
        <v>23</v>
      </c>
      <c r="D18" s="17">
        <v>0.65</v>
      </c>
      <c r="E18" s="17">
        <f t="shared" si="0"/>
        <v>6.5</v>
      </c>
    </row>
    <row r="19" spans="1:7" x14ac:dyDescent="0.15">
      <c r="A19" t="s">
        <v>89</v>
      </c>
      <c r="B19">
        <v>55</v>
      </c>
      <c r="C19" t="s">
        <v>23</v>
      </c>
      <c r="D19" s="17">
        <v>0.6</v>
      </c>
      <c r="E19" s="17">
        <f t="shared" si="0"/>
        <v>33</v>
      </c>
      <c r="G19" s="3"/>
    </row>
    <row r="20" spans="1:7" x14ac:dyDescent="0.15">
      <c r="A20" t="s">
        <v>67</v>
      </c>
      <c r="B20">
        <v>700</v>
      </c>
      <c r="C20" t="s">
        <v>59</v>
      </c>
      <c r="D20" s="17">
        <v>0.05</v>
      </c>
      <c r="E20" s="17">
        <f t="shared" si="0"/>
        <v>35</v>
      </c>
      <c r="F20" s="18" t="s">
        <v>28</v>
      </c>
    </row>
    <row r="21" spans="1:7" x14ac:dyDescent="0.15">
      <c r="A21" t="s">
        <v>68</v>
      </c>
      <c r="B21">
        <v>700</v>
      </c>
      <c r="C21" t="s">
        <v>59</v>
      </c>
      <c r="D21" s="17">
        <v>0.05</v>
      </c>
      <c r="E21" s="17">
        <f t="shared" si="0"/>
        <v>35</v>
      </c>
      <c r="F21" s="18" t="s">
        <v>28</v>
      </c>
    </row>
    <row r="22" spans="1:7" x14ac:dyDescent="0.15">
      <c r="A22" t="s">
        <v>31</v>
      </c>
      <c r="B22">
        <v>1</v>
      </c>
      <c r="C22" t="s">
        <v>90</v>
      </c>
      <c r="D22" s="17">
        <f>1.27+(4*Hired_Labor)</f>
        <v>67.27</v>
      </c>
      <c r="E22" s="17">
        <f t="shared" si="0"/>
        <v>67.27</v>
      </c>
      <c r="F22" s="18" t="s">
        <v>32</v>
      </c>
    </row>
    <row r="23" spans="1:7" x14ac:dyDescent="0.15">
      <c r="A23" t="s">
        <v>33</v>
      </c>
      <c r="B23">
        <v>1</v>
      </c>
      <c r="C23" t="s">
        <v>90</v>
      </c>
      <c r="D23" s="17">
        <f>7.67+Operator_Labor</f>
        <v>24.17</v>
      </c>
      <c r="E23" s="17">
        <f t="shared" si="0"/>
        <v>24.17</v>
      </c>
      <c r="F23" s="18" t="s">
        <v>32</v>
      </c>
    </row>
    <row r="24" spans="1:7" x14ac:dyDescent="0.15">
      <c r="A24" t="s">
        <v>34</v>
      </c>
      <c r="B24">
        <v>1</v>
      </c>
      <c r="C24" t="s">
        <v>90</v>
      </c>
      <c r="D24" s="17">
        <f>37.19+Operator_Labor</f>
        <v>53.69</v>
      </c>
      <c r="E24" s="17">
        <f t="shared" si="0"/>
        <v>53.69</v>
      </c>
      <c r="F24" s="18" t="s">
        <v>32</v>
      </c>
    </row>
    <row r="25" spans="1:7" x14ac:dyDescent="0.15">
      <c r="A25" t="s">
        <v>91</v>
      </c>
      <c r="B25" s="29">
        <f>1/3</f>
        <v>0.33333333333333331</v>
      </c>
      <c r="C25" t="s">
        <v>92</v>
      </c>
      <c r="D25" s="17">
        <v>75</v>
      </c>
      <c r="E25" s="17">
        <f>B25*D25</f>
        <v>25</v>
      </c>
      <c r="F25" s="18" t="s">
        <v>98</v>
      </c>
    </row>
    <row r="26" spans="1:7" x14ac:dyDescent="0.15">
      <c r="A26" t="s">
        <v>69</v>
      </c>
      <c r="B26">
        <v>0.1</v>
      </c>
      <c r="C26" t="s">
        <v>81</v>
      </c>
      <c r="D26" s="17">
        <v>65</v>
      </c>
      <c r="E26" s="17">
        <f>B26*D26</f>
        <v>6.5</v>
      </c>
      <c r="F26" s="18" t="s">
        <v>28</v>
      </c>
    </row>
    <row r="27" spans="1:7" x14ac:dyDescent="0.15">
      <c r="A27" t="s">
        <v>93</v>
      </c>
      <c r="B27">
        <v>4</v>
      </c>
      <c r="C27" t="s">
        <v>55</v>
      </c>
      <c r="D27" s="17">
        <f>Hired_Labor</f>
        <v>16.5</v>
      </c>
      <c r="E27" s="17">
        <f>B27*D27</f>
        <v>66</v>
      </c>
      <c r="F27" s="18"/>
    </row>
    <row r="28" spans="1:7" x14ac:dyDescent="0.15">
      <c r="A28" t="s">
        <v>35</v>
      </c>
      <c r="B28" s="62">
        <v>0.2</v>
      </c>
      <c r="C28" s="62" t="s">
        <v>81</v>
      </c>
      <c r="D28" s="63">
        <v>57.76</v>
      </c>
      <c r="E28" s="63">
        <f>B28*D28</f>
        <v>11.552</v>
      </c>
      <c r="F28" s="18" t="s">
        <v>36</v>
      </c>
    </row>
    <row r="29" spans="1:7" x14ac:dyDescent="0.15">
      <c r="A29" s="2" t="s">
        <v>37</v>
      </c>
      <c r="E29" s="19">
        <f>SUM(E15:E28)</f>
        <v>484.38200000000001</v>
      </c>
    </row>
    <row r="30" spans="1:7" x14ac:dyDescent="0.15">
      <c r="A30" s="2"/>
      <c r="E30" s="19"/>
    </row>
    <row r="31" spans="1:7" x14ac:dyDescent="0.15">
      <c r="A31" s="61"/>
      <c r="B31" s="61"/>
      <c r="C31" s="61"/>
      <c r="D31" s="61"/>
      <c r="E31" s="61"/>
    </row>
    <row r="32" spans="1:7" ht="16" customHeight="1" x14ac:dyDescent="0.15">
      <c r="A32" s="2" t="s">
        <v>38</v>
      </c>
    </row>
    <row r="33" spans="1:7" x14ac:dyDescent="0.15">
      <c r="A33" t="s">
        <v>292</v>
      </c>
      <c r="B33">
        <v>2</v>
      </c>
      <c r="C33" t="s">
        <v>71</v>
      </c>
      <c r="D33" s="17">
        <f>Hired_Labor</f>
        <v>16.5</v>
      </c>
      <c r="E33" s="17">
        <f>B33*D33</f>
        <v>33</v>
      </c>
    </row>
    <row r="34" spans="1:7" x14ac:dyDescent="0.15">
      <c r="A34" t="s">
        <v>296</v>
      </c>
      <c r="B34">
        <v>1</v>
      </c>
      <c r="D34" s="17">
        <v>206</v>
      </c>
      <c r="E34" s="17">
        <f>B34*D34</f>
        <v>206</v>
      </c>
    </row>
    <row r="35" spans="1:7" x14ac:dyDescent="0.15">
      <c r="A35" t="s">
        <v>297</v>
      </c>
      <c r="D35" s="17"/>
    </row>
    <row r="36" spans="1:7" x14ac:dyDescent="0.15">
      <c r="A36" t="s">
        <v>325</v>
      </c>
      <c r="B36" s="12">
        <v>10</v>
      </c>
      <c r="C36" t="s">
        <v>71</v>
      </c>
      <c r="D36" s="17">
        <f>Hired_Labor</f>
        <v>16.5</v>
      </c>
      <c r="E36" s="17">
        <f>B36*D36</f>
        <v>165</v>
      </c>
      <c r="F36" s="18" t="s">
        <v>72</v>
      </c>
      <c r="G36" s="3"/>
    </row>
    <row r="37" spans="1:7" x14ac:dyDescent="0.15">
      <c r="A37" t="s">
        <v>125</v>
      </c>
      <c r="B37" s="23">
        <v>0.1</v>
      </c>
      <c r="C37" t="s">
        <v>41</v>
      </c>
      <c r="D37" s="17"/>
      <c r="E37" s="17">
        <f>B37*E10</f>
        <v>210</v>
      </c>
    </row>
    <row r="38" spans="1:7" x14ac:dyDescent="0.15">
      <c r="A38" t="s">
        <v>298</v>
      </c>
      <c r="B38" s="62">
        <v>200</v>
      </c>
      <c r="C38" s="62" t="s">
        <v>94</v>
      </c>
      <c r="D38" s="63">
        <v>0.6</v>
      </c>
      <c r="E38" s="63">
        <f>B38*D38</f>
        <v>120</v>
      </c>
      <c r="F38" s="18"/>
    </row>
    <row r="39" spans="1:7" x14ac:dyDescent="0.15">
      <c r="A39" s="2" t="s">
        <v>42</v>
      </c>
      <c r="E39" s="19">
        <f>SUM(E33:E38)</f>
        <v>734</v>
      </c>
    </row>
    <row r="41" spans="1:7" x14ac:dyDescent="0.15">
      <c r="A41" t="s">
        <v>43</v>
      </c>
      <c r="E41" s="24">
        <f>(Interest_Pct*0.5*E29)+(Interest_Pct*0.25*E39)</f>
        <v>25.541460000000001</v>
      </c>
    </row>
    <row r="43" spans="1:7" x14ac:dyDescent="0.15">
      <c r="A43" s="2" t="s">
        <v>44</v>
      </c>
      <c r="B43" s="2"/>
      <c r="C43" s="2"/>
      <c r="D43" s="2"/>
      <c r="E43" s="19">
        <f>SUM(E29+E39+E41)</f>
        <v>1243.92346</v>
      </c>
    </row>
    <row r="45" spans="1:7" x14ac:dyDescent="0.15">
      <c r="A45" s="66" t="s">
        <v>45</v>
      </c>
      <c r="B45" s="67"/>
      <c r="C45" s="67"/>
      <c r="D45" s="67"/>
      <c r="E45" s="68">
        <f>E10-E43</f>
        <v>856.07654000000002</v>
      </c>
    </row>
    <row r="47" spans="1:7" x14ac:dyDescent="0.15">
      <c r="A47" s="61"/>
      <c r="B47" s="61"/>
      <c r="C47" s="61"/>
      <c r="D47" s="61"/>
      <c r="E47" s="61"/>
    </row>
    <row r="48" spans="1:7" ht="16" customHeight="1" x14ac:dyDescent="0.15">
      <c r="A48" s="2" t="s">
        <v>46</v>
      </c>
    </row>
    <row r="49" spans="1:6" x14ac:dyDescent="0.15">
      <c r="A49" t="s">
        <v>47</v>
      </c>
      <c r="E49" s="17">
        <v>24.83</v>
      </c>
      <c r="F49" s="18" t="s">
        <v>36</v>
      </c>
    </row>
    <row r="50" spans="1:6" x14ac:dyDescent="0.15">
      <c r="A50" t="s">
        <v>48</v>
      </c>
      <c r="E50" s="17">
        <f>432.39/4</f>
        <v>108.0975</v>
      </c>
      <c r="F50" t="s">
        <v>28</v>
      </c>
    </row>
    <row r="51" spans="1:6" x14ac:dyDescent="0.15">
      <c r="A51" t="s">
        <v>49</v>
      </c>
      <c r="E51" s="17">
        <v>1</v>
      </c>
    </row>
    <row r="52" spans="1:6" x14ac:dyDescent="0.15">
      <c r="A52" t="s">
        <v>50</v>
      </c>
      <c r="B52" s="62"/>
      <c r="C52" s="62"/>
      <c r="D52" s="62"/>
      <c r="E52" s="63">
        <f>0.01*E43</f>
        <v>12.439234600000001</v>
      </c>
    </row>
    <row r="53" spans="1:6" x14ac:dyDescent="0.15">
      <c r="A53" s="2" t="s">
        <v>51</v>
      </c>
      <c r="E53" s="25">
        <f>SUM(E49:E52)</f>
        <v>146.3667346</v>
      </c>
    </row>
    <row r="55" spans="1:6" x14ac:dyDescent="0.15">
      <c r="A55" s="2" t="s">
        <v>52</v>
      </c>
      <c r="E55" s="19">
        <f>E43+E53</f>
        <v>1390.2901945999999</v>
      </c>
    </row>
    <row r="57" spans="1:6" x14ac:dyDescent="0.15">
      <c r="A57" s="67" t="s">
        <v>53</v>
      </c>
      <c r="B57" s="67"/>
      <c r="C57" s="67"/>
      <c r="D57" s="67"/>
      <c r="E57" s="70">
        <f>E10-E55</f>
        <v>709.70980540000005</v>
      </c>
    </row>
    <row r="59" spans="1:6" x14ac:dyDescent="0.15">
      <c r="A59" s="3" t="s">
        <v>54</v>
      </c>
      <c r="B59">
        <v>10</v>
      </c>
      <c r="C59" t="s">
        <v>55</v>
      </c>
      <c r="D59" s="17">
        <f>Operator_Labor</f>
        <v>16.5</v>
      </c>
      <c r="E59" s="17">
        <f>B59*D59</f>
        <v>165</v>
      </c>
    </row>
    <row r="60" spans="1:6" ht="14" thickBot="1" x14ac:dyDescent="0.2">
      <c r="A60" s="1"/>
      <c r="B60" s="1"/>
      <c r="C60" s="1"/>
      <c r="D60" s="1"/>
      <c r="E60" s="1"/>
    </row>
    <row r="61" spans="1:6" ht="14" thickBot="1" x14ac:dyDescent="0.2">
      <c r="A61" s="77" t="s">
        <v>56</v>
      </c>
      <c r="B61" s="78"/>
      <c r="C61" s="78"/>
      <c r="D61" s="78"/>
      <c r="E61" s="79">
        <f>E57-E59</f>
        <v>544.70980540000005</v>
      </c>
    </row>
    <row r="63" spans="1:6" x14ac:dyDescent="0.15">
      <c r="A63" s="18" t="s">
        <v>228</v>
      </c>
    </row>
    <row r="64" spans="1:6" x14ac:dyDescent="0.15">
      <c r="A64" s="18" t="s">
        <v>259</v>
      </c>
    </row>
    <row r="65" spans="1:1" x14ac:dyDescent="0.15">
      <c r="A65" s="18" t="s">
        <v>76</v>
      </c>
    </row>
    <row r="66" spans="1:1" x14ac:dyDescent="0.15">
      <c r="A66" s="18" t="s">
        <v>261</v>
      </c>
    </row>
    <row r="67" spans="1:1" x14ac:dyDescent="0.15">
      <c r="A67" s="18" t="s">
        <v>260</v>
      </c>
    </row>
    <row r="68" spans="1:1" x14ac:dyDescent="0.15">
      <c r="A68" s="9" t="s">
        <v>257</v>
      </c>
    </row>
    <row r="69" spans="1:1" x14ac:dyDescent="0.15">
      <c r="A69" s="18" t="s">
        <v>210</v>
      </c>
    </row>
    <row r="70" spans="1:1" x14ac:dyDescent="0.15">
      <c r="A70" s="18" t="s">
        <v>331</v>
      </c>
    </row>
  </sheetData>
  <pageMargins left="0.75" right="0.75" top="1" bottom="1" header="0.5" footer="0.5"/>
  <pageSetup scale="68"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L99"/>
  <sheetViews>
    <sheetView zoomScaleNormal="100" workbookViewId="0">
      <selection activeCell="E80" sqref="E80"/>
    </sheetView>
  </sheetViews>
  <sheetFormatPr baseColWidth="10" defaultColWidth="8.83203125" defaultRowHeight="13" x14ac:dyDescent="0.15"/>
  <cols>
    <col min="1" max="1" width="32.5" customWidth="1"/>
    <col min="2" max="2" width="8" bestFit="1" customWidth="1"/>
    <col min="3" max="3" width="7" bestFit="1" customWidth="1"/>
    <col min="4" max="4" width="8" bestFit="1" customWidth="1"/>
    <col min="5" max="5" width="9.1640625" bestFit="1" customWidth="1"/>
    <col min="6" max="6" width="3.5" bestFit="1" customWidth="1"/>
    <col min="11" max="11" width="20.5" bestFit="1" customWidth="1"/>
  </cols>
  <sheetData>
    <row r="1" spans="1:12" ht="16" x14ac:dyDescent="0.2">
      <c r="A1" s="76" t="s">
        <v>95</v>
      </c>
      <c r="I1" s="2"/>
      <c r="J1" s="3"/>
      <c r="L1" s="30"/>
    </row>
    <row r="2" spans="1:12" x14ac:dyDescent="0.15">
      <c r="A2" s="2" t="s">
        <v>255</v>
      </c>
      <c r="G2" s="2"/>
      <c r="K2" s="3"/>
      <c r="L2" s="2"/>
    </row>
    <row r="3" spans="1:12" s="7" customFormat="1" x14ac:dyDescent="0.15">
      <c r="A3" s="6" t="s">
        <v>180</v>
      </c>
    </row>
    <row r="4" spans="1:12" x14ac:dyDescent="0.15">
      <c r="A4" s="59" t="s">
        <v>251</v>
      </c>
    </row>
    <row r="5" spans="1:12" x14ac:dyDescent="0.15">
      <c r="A5" s="59" t="s">
        <v>252</v>
      </c>
    </row>
    <row r="6" spans="1:12" ht="18.75" customHeight="1" x14ac:dyDescent="0.15">
      <c r="B6" s="105" t="s">
        <v>12</v>
      </c>
      <c r="C6" s="105" t="s">
        <v>13</v>
      </c>
      <c r="D6" s="105" t="s">
        <v>14</v>
      </c>
      <c r="E6" s="105" t="s">
        <v>15</v>
      </c>
    </row>
    <row r="7" spans="1:12" x14ac:dyDescent="0.15">
      <c r="A7" s="2" t="s">
        <v>16</v>
      </c>
      <c r="B7" s="88"/>
      <c r="C7" s="87"/>
      <c r="D7" s="87"/>
      <c r="E7" s="87"/>
      <c r="G7" s="2"/>
      <c r="H7" s="3"/>
    </row>
    <row r="8" spans="1:12" x14ac:dyDescent="0.15">
      <c r="A8" t="s">
        <v>96</v>
      </c>
      <c r="B8" s="89">
        <v>150</v>
      </c>
      <c r="C8" s="87" t="s">
        <v>18</v>
      </c>
      <c r="D8" s="90">
        <v>1.5</v>
      </c>
      <c r="E8" s="90">
        <f>B8*D8</f>
        <v>225</v>
      </c>
      <c r="F8" s="18" t="s">
        <v>77</v>
      </c>
    </row>
    <row r="9" spans="1:12" x14ac:dyDescent="0.15">
      <c r="B9" s="87"/>
      <c r="C9" s="87"/>
      <c r="D9" s="90"/>
      <c r="E9" s="90">
        <f>B9*D9</f>
        <v>0</v>
      </c>
      <c r="G9" s="3"/>
    </row>
    <row r="10" spans="1:12" ht="15" customHeight="1" x14ac:dyDescent="0.15">
      <c r="A10" t="s">
        <v>61</v>
      </c>
      <c r="B10" s="87"/>
      <c r="C10" s="87"/>
      <c r="D10" s="87"/>
      <c r="E10" s="91">
        <f>SUM(E8:E9)</f>
        <v>225</v>
      </c>
    </row>
    <row r="11" spans="1:12" ht="15" customHeight="1" x14ac:dyDescent="0.15">
      <c r="E11" s="19"/>
    </row>
    <row r="12" spans="1:12" x14ac:dyDescent="0.15">
      <c r="A12" s="61"/>
      <c r="B12" s="61"/>
      <c r="C12" s="61"/>
      <c r="D12" s="61"/>
      <c r="E12" s="61"/>
    </row>
    <row r="13" spans="1:12" ht="15" customHeight="1" x14ac:dyDescent="0.15">
      <c r="A13" s="2" t="s">
        <v>20</v>
      </c>
    </row>
    <row r="14" spans="1:12" x14ac:dyDescent="0.15">
      <c r="A14" t="s">
        <v>21</v>
      </c>
    </row>
    <row r="15" spans="1:12" x14ac:dyDescent="0.15">
      <c r="A15" s="3" t="s">
        <v>97</v>
      </c>
      <c r="B15" s="28">
        <v>100</v>
      </c>
      <c r="C15" s="3" t="s">
        <v>86</v>
      </c>
      <c r="D15" s="17">
        <v>0.1</v>
      </c>
      <c r="E15" s="17">
        <f t="shared" ref="E15:E25" si="0">B15*D15</f>
        <v>10</v>
      </c>
      <c r="G15" s="3"/>
    </row>
    <row r="16" spans="1:12" x14ac:dyDescent="0.15">
      <c r="A16" t="s">
        <v>64</v>
      </c>
      <c r="B16">
        <v>1.25</v>
      </c>
      <c r="C16" t="s">
        <v>23</v>
      </c>
      <c r="D16" s="17">
        <v>0.4</v>
      </c>
      <c r="E16" s="17">
        <f t="shared" si="0"/>
        <v>0.5</v>
      </c>
    </row>
    <row r="17" spans="1:7" x14ac:dyDescent="0.15">
      <c r="A17" t="s">
        <v>88</v>
      </c>
      <c r="B17">
        <v>1</v>
      </c>
      <c r="C17" t="s">
        <v>23</v>
      </c>
      <c r="D17" s="17">
        <v>0.6</v>
      </c>
      <c r="E17" s="17">
        <f t="shared" si="0"/>
        <v>0.6</v>
      </c>
    </row>
    <row r="18" spans="1:7" x14ac:dyDescent="0.15">
      <c r="A18" s="3" t="s">
        <v>66</v>
      </c>
      <c r="B18" s="28">
        <v>2</v>
      </c>
      <c r="C18" t="s">
        <v>23</v>
      </c>
      <c r="D18" s="17">
        <v>0.65</v>
      </c>
      <c r="E18" s="17">
        <f t="shared" si="0"/>
        <v>1.3</v>
      </c>
      <c r="F18" t="s">
        <v>98</v>
      </c>
      <c r="G18" s="3"/>
    </row>
    <row r="19" spans="1:7" x14ac:dyDescent="0.15">
      <c r="A19" t="s">
        <v>99</v>
      </c>
      <c r="B19">
        <v>100</v>
      </c>
      <c r="C19" t="s">
        <v>59</v>
      </c>
      <c r="D19" s="17">
        <v>0.1</v>
      </c>
      <c r="E19" s="17">
        <f t="shared" si="0"/>
        <v>10</v>
      </c>
      <c r="F19" s="18" t="s">
        <v>28</v>
      </c>
      <c r="G19" s="3"/>
    </row>
    <row r="20" spans="1:7" x14ac:dyDescent="0.15">
      <c r="A20" t="s">
        <v>91</v>
      </c>
      <c r="B20">
        <v>0.1</v>
      </c>
      <c r="C20" t="s">
        <v>92</v>
      </c>
      <c r="D20" s="17">
        <v>75</v>
      </c>
      <c r="E20" s="17">
        <f t="shared" si="0"/>
        <v>7.5</v>
      </c>
      <c r="F20" t="s">
        <v>131</v>
      </c>
    </row>
    <row r="21" spans="1:7" x14ac:dyDescent="0.15">
      <c r="A21" s="3" t="s">
        <v>31</v>
      </c>
      <c r="B21">
        <v>1</v>
      </c>
      <c r="C21" t="s">
        <v>30</v>
      </c>
      <c r="D21" s="17">
        <f>0.15+Hired_Labor*2</f>
        <v>33.15</v>
      </c>
      <c r="E21" s="17">
        <f t="shared" si="0"/>
        <v>33.15</v>
      </c>
      <c r="F21" s="18" t="s">
        <v>32</v>
      </c>
    </row>
    <row r="22" spans="1:7" x14ac:dyDescent="0.15">
      <c r="A22" t="s">
        <v>33</v>
      </c>
      <c r="B22">
        <v>1</v>
      </c>
      <c r="C22" t="s">
        <v>30</v>
      </c>
      <c r="D22" s="17">
        <f>(Operator_Labor*0.5)+1.95</f>
        <v>10.199999999999999</v>
      </c>
      <c r="E22" s="17">
        <f t="shared" si="0"/>
        <v>10.199999999999999</v>
      </c>
      <c r="F22" s="18" t="s">
        <v>32</v>
      </c>
      <c r="G22" s="3"/>
    </row>
    <row r="23" spans="1:7" x14ac:dyDescent="0.15">
      <c r="A23" s="3" t="s">
        <v>34</v>
      </c>
      <c r="B23">
        <v>1</v>
      </c>
      <c r="C23" t="s">
        <v>30</v>
      </c>
      <c r="D23" s="17">
        <f>2.69+(Operator_Labor*0.5)</f>
        <v>10.94</v>
      </c>
      <c r="E23" s="17">
        <f t="shared" si="0"/>
        <v>10.94</v>
      </c>
      <c r="F23" s="18" t="s">
        <v>32</v>
      </c>
    </row>
    <row r="24" spans="1:7" x14ac:dyDescent="0.15">
      <c r="A24" t="s">
        <v>69</v>
      </c>
      <c r="B24">
        <v>2</v>
      </c>
      <c r="C24" t="s">
        <v>55</v>
      </c>
      <c r="D24" s="17">
        <v>0.65</v>
      </c>
      <c r="E24" s="17">
        <f t="shared" si="0"/>
        <v>1.3</v>
      </c>
      <c r="F24" s="18" t="s">
        <v>28</v>
      </c>
    </row>
    <row r="25" spans="1:7" x14ac:dyDescent="0.15">
      <c r="A25" t="s">
        <v>35</v>
      </c>
      <c r="B25" s="62">
        <v>1</v>
      </c>
      <c r="C25" s="62" t="s">
        <v>30</v>
      </c>
      <c r="D25" s="63">
        <v>6.16</v>
      </c>
      <c r="E25" s="63">
        <f t="shared" si="0"/>
        <v>6.16</v>
      </c>
      <c r="F25" s="18" t="s">
        <v>36</v>
      </c>
    </row>
    <row r="26" spans="1:7" x14ac:dyDescent="0.15">
      <c r="A26" s="2" t="s">
        <v>37</v>
      </c>
      <c r="E26" s="19">
        <f>SUM(E15:E25)</f>
        <v>91.649999999999991</v>
      </c>
    </row>
    <row r="27" spans="1:7" x14ac:dyDescent="0.15">
      <c r="A27" s="2"/>
      <c r="E27" s="19"/>
    </row>
    <row r="28" spans="1:7" x14ac:dyDescent="0.15">
      <c r="A28" s="61"/>
      <c r="B28" s="61"/>
      <c r="C28" s="61"/>
      <c r="D28" s="61"/>
      <c r="E28" s="61"/>
    </row>
    <row r="29" spans="1:7" ht="15" customHeight="1" x14ac:dyDescent="0.15">
      <c r="A29" s="2" t="s">
        <v>38</v>
      </c>
    </row>
    <row r="30" spans="1:7" x14ac:dyDescent="0.15">
      <c r="A30" t="s">
        <v>292</v>
      </c>
      <c r="B30">
        <v>0.5</v>
      </c>
      <c r="C30" t="s">
        <v>71</v>
      </c>
      <c r="D30" s="17">
        <f>Hired_Labor</f>
        <v>16.5</v>
      </c>
      <c r="E30" s="17">
        <f>B30*D30</f>
        <v>8.25</v>
      </c>
    </row>
    <row r="31" spans="1:7" x14ac:dyDescent="0.15">
      <c r="A31" t="s">
        <v>297</v>
      </c>
      <c r="D31" s="17"/>
    </row>
    <row r="32" spans="1:7" x14ac:dyDescent="0.15">
      <c r="A32" s="3" t="s">
        <v>299</v>
      </c>
      <c r="B32" s="22">
        <v>6</v>
      </c>
      <c r="C32" s="3" t="s">
        <v>101</v>
      </c>
      <c r="D32" s="17">
        <v>1.65</v>
      </c>
      <c r="E32" s="17">
        <f>B32*D32</f>
        <v>9.8999999999999986</v>
      </c>
      <c r="F32" s="18" t="s">
        <v>72</v>
      </c>
      <c r="G32" s="3"/>
    </row>
    <row r="33" spans="1:7" x14ac:dyDescent="0.15">
      <c r="A33" s="3" t="s">
        <v>300</v>
      </c>
      <c r="B33" s="22">
        <v>6</v>
      </c>
      <c r="C33" s="3" t="s">
        <v>101</v>
      </c>
      <c r="D33" s="17">
        <v>2.5</v>
      </c>
      <c r="E33" s="17">
        <f>B33*D33</f>
        <v>15</v>
      </c>
      <c r="F33" s="18" t="s">
        <v>72</v>
      </c>
      <c r="G33" s="3"/>
    </row>
    <row r="34" spans="1:7" x14ac:dyDescent="0.15">
      <c r="A34" s="3" t="s">
        <v>295</v>
      </c>
      <c r="B34" s="22">
        <v>6</v>
      </c>
      <c r="C34" s="3" t="s">
        <v>40</v>
      </c>
      <c r="D34" s="17">
        <v>1.6</v>
      </c>
      <c r="E34" s="17">
        <f>B34*D34</f>
        <v>9.6000000000000014</v>
      </c>
      <c r="F34" s="18"/>
      <c r="G34" s="3"/>
    </row>
    <row r="35" spans="1:7" x14ac:dyDescent="0.15">
      <c r="A35" t="s">
        <v>125</v>
      </c>
      <c r="B35" s="32">
        <f>Marketing_Pct</f>
        <v>0.1</v>
      </c>
      <c r="C35" t="s">
        <v>41</v>
      </c>
      <c r="D35" s="17"/>
      <c r="E35" s="17">
        <f>B35*E10</f>
        <v>22.5</v>
      </c>
    </row>
    <row r="36" spans="1:7" x14ac:dyDescent="0.15">
      <c r="A36" t="s">
        <v>73</v>
      </c>
      <c r="B36" s="64">
        <v>1</v>
      </c>
      <c r="C36" s="65" t="s">
        <v>30</v>
      </c>
      <c r="D36" s="63">
        <v>0</v>
      </c>
      <c r="E36" s="63">
        <f>B36*D36</f>
        <v>0</v>
      </c>
      <c r="F36" s="18"/>
    </row>
    <row r="37" spans="1:7" x14ac:dyDescent="0.15">
      <c r="A37" s="2" t="s">
        <v>42</v>
      </c>
      <c r="E37" s="19">
        <f>SUM(E30:E36)</f>
        <v>65.25</v>
      </c>
    </row>
    <row r="39" spans="1:7" x14ac:dyDescent="0.15">
      <c r="A39" t="s">
        <v>43</v>
      </c>
      <c r="E39" s="24">
        <f>(Interest_Pct*0.5*E26)+(Interest_Pct*0.25*E37)</f>
        <v>3.7282500000000001</v>
      </c>
    </row>
    <row r="41" spans="1:7" x14ac:dyDescent="0.15">
      <c r="A41" s="2" t="s">
        <v>44</v>
      </c>
      <c r="B41" s="2"/>
      <c r="C41" s="2"/>
      <c r="D41" s="2"/>
      <c r="E41" s="19">
        <f>SUM(E26+E37+E39)</f>
        <v>160.62824999999998</v>
      </c>
    </row>
    <row r="43" spans="1:7" x14ac:dyDescent="0.15">
      <c r="A43" s="66" t="s">
        <v>45</v>
      </c>
      <c r="B43" s="67"/>
      <c r="C43" s="67"/>
      <c r="D43" s="67"/>
      <c r="E43" s="68">
        <f>E10-E41</f>
        <v>64.37175000000002</v>
      </c>
    </row>
    <row r="44" spans="1:7" x14ac:dyDescent="0.15">
      <c r="A44" s="61"/>
      <c r="B44" s="61"/>
      <c r="C44" s="61"/>
      <c r="D44" s="61"/>
      <c r="E44" s="61"/>
    </row>
    <row r="45" spans="1:7" ht="15" customHeight="1" x14ac:dyDescent="0.15">
      <c r="A45" s="2" t="s">
        <v>46</v>
      </c>
    </row>
    <row r="46" spans="1:7" x14ac:dyDescent="0.15">
      <c r="A46" t="s">
        <v>47</v>
      </c>
      <c r="E46" s="17">
        <v>11.26</v>
      </c>
      <c r="F46" s="18" t="s">
        <v>36</v>
      </c>
    </row>
    <row r="47" spans="1:7" x14ac:dyDescent="0.15">
      <c r="A47" t="s">
        <v>48</v>
      </c>
      <c r="E47" s="17">
        <f>493.89*0.02</f>
        <v>9.8778000000000006</v>
      </c>
      <c r="F47" t="s">
        <v>28</v>
      </c>
    </row>
    <row r="48" spans="1:7" x14ac:dyDescent="0.15">
      <c r="A48" t="s">
        <v>49</v>
      </c>
      <c r="E48" s="17">
        <v>1</v>
      </c>
    </row>
    <row r="49" spans="1:5" x14ac:dyDescent="0.15">
      <c r="A49" t="s">
        <v>50</v>
      </c>
      <c r="B49" s="62"/>
      <c r="C49" s="62"/>
      <c r="D49" s="62"/>
      <c r="E49" s="63">
        <f>0.01*E41</f>
        <v>1.6062824999999998</v>
      </c>
    </row>
    <row r="50" spans="1:5" x14ac:dyDescent="0.15">
      <c r="A50" s="2" t="s">
        <v>51</v>
      </c>
      <c r="E50" s="25">
        <f>SUM(E46:E49)</f>
        <v>23.744082499999998</v>
      </c>
    </row>
    <row r="52" spans="1:5" x14ac:dyDescent="0.15">
      <c r="A52" s="2" t="s">
        <v>52</v>
      </c>
      <c r="E52" s="19">
        <f>E41+E50</f>
        <v>184.37233249999997</v>
      </c>
    </row>
    <row r="54" spans="1:5" x14ac:dyDescent="0.15">
      <c r="A54" s="67" t="s">
        <v>53</v>
      </c>
      <c r="B54" s="67"/>
      <c r="C54" s="67"/>
      <c r="D54" s="67"/>
      <c r="E54" s="70">
        <f>E10-E52</f>
        <v>40.62766750000003</v>
      </c>
    </row>
    <row r="56" spans="1:5" x14ac:dyDescent="0.15">
      <c r="A56" t="s">
        <v>74</v>
      </c>
      <c r="B56">
        <v>2</v>
      </c>
      <c r="C56" t="s">
        <v>55</v>
      </c>
      <c r="D56" s="17">
        <f>Operator_Labor</f>
        <v>16.5</v>
      </c>
      <c r="E56" s="17">
        <f>B56*D56</f>
        <v>33</v>
      </c>
    </row>
    <row r="57" spans="1:5" ht="14" thickBot="1" x14ac:dyDescent="0.2">
      <c r="A57" s="1"/>
      <c r="B57" s="1"/>
      <c r="C57" s="1"/>
      <c r="D57" s="1"/>
      <c r="E57" s="1"/>
    </row>
    <row r="58" spans="1:5" ht="14" thickBot="1" x14ac:dyDescent="0.2">
      <c r="A58" s="77" t="s">
        <v>56</v>
      </c>
      <c r="B58" s="78"/>
      <c r="C58" s="78"/>
      <c r="D58" s="78"/>
      <c r="E58" s="79">
        <f>E54-E56</f>
        <v>7.6276675000000296</v>
      </c>
    </row>
    <row r="60" spans="1:5" x14ac:dyDescent="0.15">
      <c r="A60" s="18" t="s">
        <v>103</v>
      </c>
    </row>
    <row r="61" spans="1:5" x14ac:dyDescent="0.15">
      <c r="A61" s="18" t="s">
        <v>231</v>
      </c>
    </row>
    <row r="62" spans="1:5" x14ac:dyDescent="0.15">
      <c r="A62" s="18" t="s">
        <v>262</v>
      </c>
    </row>
    <row r="63" spans="1:5" x14ac:dyDescent="0.15">
      <c r="A63" s="18" t="s">
        <v>76</v>
      </c>
    </row>
    <row r="64" spans="1:5" x14ac:dyDescent="0.15">
      <c r="A64" s="18" t="s">
        <v>256</v>
      </c>
    </row>
    <row r="65" spans="1:1" x14ac:dyDescent="0.15">
      <c r="A65" s="18" t="s">
        <v>197</v>
      </c>
    </row>
    <row r="66" spans="1:1" x14ac:dyDescent="0.15">
      <c r="A66" s="18" t="s">
        <v>210</v>
      </c>
    </row>
    <row r="67" spans="1:1" x14ac:dyDescent="0.15">
      <c r="A67" s="18" t="s">
        <v>211</v>
      </c>
    </row>
    <row r="68" spans="1:1" x14ac:dyDescent="0.15">
      <c r="A68" s="18" t="s">
        <v>332</v>
      </c>
    </row>
    <row r="97" spans="1:1" x14ac:dyDescent="0.15">
      <c r="A97" s="2"/>
    </row>
    <row r="98" spans="1:1" x14ac:dyDescent="0.15">
      <c r="A98" s="3"/>
    </row>
    <row r="99" spans="1:1" x14ac:dyDescent="0.15">
      <c r="A99" s="3"/>
    </row>
  </sheetData>
  <pageMargins left="0.75" right="0.75" top="1" bottom="1" header="0.5" footer="0.5"/>
  <pageSetup scale="77"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L99"/>
  <sheetViews>
    <sheetView zoomScaleNormal="100" workbookViewId="0">
      <selection activeCell="K19" sqref="K19"/>
    </sheetView>
  </sheetViews>
  <sheetFormatPr baseColWidth="10" defaultColWidth="8.83203125" defaultRowHeight="13" x14ac:dyDescent="0.15"/>
  <cols>
    <col min="1" max="1" width="32.6640625" customWidth="1"/>
    <col min="2" max="2" width="8.1640625" bestFit="1" customWidth="1"/>
    <col min="3" max="3" width="8.33203125" bestFit="1" customWidth="1"/>
    <col min="4" max="4" width="8.1640625" bestFit="1" customWidth="1"/>
    <col min="5" max="5" width="9.1640625" bestFit="1" customWidth="1"/>
    <col min="6" max="6" width="3.1640625" customWidth="1"/>
    <col min="11" max="11" width="20.5" bestFit="1" customWidth="1"/>
  </cols>
  <sheetData>
    <row r="1" spans="1:12" ht="16" x14ac:dyDescent="0.2">
      <c r="A1" s="76" t="s">
        <v>198</v>
      </c>
      <c r="I1" s="2"/>
      <c r="J1" s="3"/>
      <c r="L1" s="30"/>
    </row>
    <row r="2" spans="1:12" x14ac:dyDescent="0.15">
      <c r="A2" s="2" t="s">
        <v>255</v>
      </c>
      <c r="G2" s="2"/>
      <c r="K2" s="3"/>
      <c r="L2" s="2"/>
    </row>
    <row r="3" spans="1:12" s="7" customFormat="1" x14ac:dyDescent="0.15">
      <c r="A3" s="6" t="s">
        <v>180</v>
      </c>
    </row>
    <row r="4" spans="1:12" x14ac:dyDescent="0.15">
      <c r="A4" s="59" t="s">
        <v>251</v>
      </c>
    </row>
    <row r="5" spans="1:12" x14ac:dyDescent="0.15">
      <c r="A5" s="59" t="s">
        <v>252</v>
      </c>
    </row>
    <row r="6" spans="1:12" ht="18.75" customHeight="1" x14ac:dyDescent="0.15">
      <c r="B6" s="105" t="s">
        <v>12</v>
      </c>
      <c r="C6" s="105" t="s">
        <v>13</v>
      </c>
      <c r="D6" s="105" t="s">
        <v>14</v>
      </c>
      <c r="E6" s="105" t="s">
        <v>15</v>
      </c>
    </row>
    <row r="7" spans="1:12" x14ac:dyDescent="0.15">
      <c r="A7" s="2" t="s">
        <v>16</v>
      </c>
      <c r="B7" s="31"/>
      <c r="G7" s="2"/>
      <c r="H7" s="3"/>
    </row>
    <row r="8" spans="1:12" x14ac:dyDescent="0.15">
      <c r="A8" s="3" t="s">
        <v>105</v>
      </c>
      <c r="B8" s="89">
        <v>200</v>
      </c>
      <c r="C8" s="87" t="s">
        <v>106</v>
      </c>
      <c r="D8" s="90">
        <v>1.75</v>
      </c>
      <c r="E8" s="90">
        <f>B8*D8</f>
        <v>350</v>
      </c>
      <c r="F8" s="18" t="s">
        <v>19</v>
      </c>
    </row>
    <row r="9" spans="1:12" x14ac:dyDescent="0.15">
      <c r="B9" s="87"/>
      <c r="C9" s="87"/>
      <c r="D9" s="90"/>
      <c r="E9" s="90">
        <f>B9*D9</f>
        <v>0</v>
      </c>
    </row>
    <row r="10" spans="1:12" ht="15" customHeight="1" x14ac:dyDescent="0.15">
      <c r="A10" t="s">
        <v>61</v>
      </c>
      <c r="B10" s="87"/>
      <c r="C10" s="87"/>
      <c r="D10" s="87"/>
      <c r="E10" s="91">
        <f>SUM(E8:E9)</f>
        <v>350</v>
      </c>
    </row>
    <row r="11" spans="1:12" ht="9" customHeight="1" x14ac:dyDescent="0.15">
      <c r="B11" s="87"/>
      <c r="C11" s="87"/>
      <c r="D11" s="87"/>
      <c r="E11" s="91"/>
    </row>
    <row r="12" spans="1:12" x14ac:dyDescent="0.15">
      <c r="A12" s="61"/>
      <c r="B12" s="61"/>
      <c r="C12" s="61"/>
      <c r="D12" s="61"/>
      <c r="E12" s="61"/>
    </row>
    <row r="13" spans="1:12" ht="15" customHeight="1" x14ac:dyDescent="0.15">
      <c r="A13" s="2" t="s">
        <v>20</v>
      </c>
    </row>
    <row r="14" spans="1:12" x14ac:dyDescent="0.15">
      <c r="A14" t="s">
        <v>21</v>
      </c>
    </row>
    <row r="15" spans="1:12" x14ac:dyDescent="0.15">
      <c r="A15" s="3" t="s">
        <v>107</v>
      </c>
      <c r="B15" s="28">
        <v>50</v>
      </c>
      <c r="C15" s="3" t="s">
        <v>63</v>
      </c>
      <c r="D15" s="17">
        <v>0.35</v>
      </c>
      <c r="E15" s="17">
        <f t="shared" ref="E15:E22" si="0">B15*D15</f>
        <v>17.5</v>
      </c>
      <c r="G15" s="3"/>
    </row>
    <row r="16" spans="1:12" x14ac:dyDescent="0.15">
      <c r="A16" t="s">
        <v>64</v>
      </c>
      <c r="B16">
        <v>1.5</v>
      </c>
      <c r="C16" t="s">
        <v>23</v>
      </c>
      <c r="D16" s="17">
        <v>0.4</v>
      </c>
      <c r="E16" s="17">
        <f t="shared" si="0"/>
        <v>0.60000000000000009</v>
      </c>
    </row>
    <row r="17" spans="1:7" x14ac:dyDescent="0.15">
      <c r="A17" t="s">
        <v>88</v>
      </c>
      <c r="B17">
        <v>1</v>
      </c>
      <c r="C17" t="s">
        <v>23</v>
      </c>
      <c r="D17" s="17">
        <v>0.6</v>
      </c>
      <c r="E17" s="17">
        <f t="shared" si="0"/>
        <v>0.6</v>
      </c>
    </row>
    <row r="18" spans="1:7" x14ac:dyDescent="0.15">
      <c r="A18" s="3" t="s">
        <v>66</v>
      </c>
      <c r="B18" s="33">
        <v>4.4000000000000004</v>
      </c>
      <c r="C18" t="s">
        <v>23</v>
      </c>
      <c r="D18" s="17">
        <v>0.65</v>
      </c>
      <c r="E18" s="17">
        <f t="shared" si="0"/>
        <v>2.8600000000000003</v>
      </c>
      <c r="F18" t="s">
        <v>98</v>
      </c>
      <c r="G18" s="3"/>
    </row>
    <row r="19" spans="1:7" x14ac:dyDescent="0.15">
      <c r="A19" t="s">
        <v>68</v>
      </c>
      <c r="B19">
        <v>100</v>
      </c>
      <c r="C19" t="s">
        <v>59</v>
      </c>
      <c r="D19" s="17">
        <v>0.1</v>
      </c>
      <c r="E19" s="17">
        <f t="shared" si="0"/>
        <v>10</v>
      </c>
      <c r="F19" s="18" t="s">
        <v>28</v>
      </c>
    </row>
    <row r="20" spans="1:7" x14ac:dyDescent="0.15">
      <c r="A20" t="s">
        <v>31</v>
      </c>
      <c r="B20">
        <v>1</v>
      </c>
      <c r="C20" t="s">
        <v>30</v>
      </c>
      <c r="D20" s="17">
        <f>Hired_Labor*2+1.19</f>
        <v>34.19</v>
      </c>
      <c r="E20" s="17">
        <f t="shared" si="0"/>
        <v>34.19</v>
      </c>
      <c r="F20" t="s">
        <v>32</v>
      </c>
    </row>
    <row r="21" spans="1:7" x14ac:dyDescent="0.15">
      <c r="A21" t="s">
        <v>108</v>
      </c>
      <c r="B21">
        <v>1</v>
      </c>
      <c r="C21" t="s">
        <v>30</v>
      </c>
      <c r="D21" s="17">
        <f>2.78+(Operator_Labor*0.5)</f>
        <v>11.03</v>
      </c>
      <c r="E21" s="17">
        <f t="shared" si="0"/>
        <v>11.03</v>
      </c>
      <c r="F21" s="18" t="s">
        <v>32</v>
      </c>
    </row>
    <row r="22" spans="1:7" x14ac:dyDescent="0.15">
      <c r="A22" t="s">
        <v>109</v>
      </c>
      <c r="B22">
        <v>1</v>
      </c>
      <c r="C22" t="s">
        <v>30</v>
      </c>
      <c r="D22" s="17">
        <f>3.29+(Operator_Labor*0.5)</f>
        <v>11.54</v>
      </c>
      <c r="E22" s="17">
        <f t="shared" si="0"/>
        <v>11.54</v>
      </c>
      <c r="F22" s="18" t="s">
        <v>32</v>
      </c>
    </row>
    <row r="23" spans="1:7" x14ac:dyDescent="0.15">
      <c r="A23" t="s">
        <v>69</v>
      </c>
      <c r="B23">
        <v>10</v>
      </c>
      <c r="C23" t="s">
        <v>55</v>
      </c>
      <c r="D23" s="17">
        <v>0.65</v>
      </c>
      <c r="E23" s="17">
        <f>B23*D23</f>
        <v>6.5</v>
      </c>
      <c r="F23" s="18" t="s">
        <v>28</v>
      </c>
    </row>
    <row r="24" spans="1:7" x14ac:dyDescent="0.15">
      <c r="A24" t="s">
        <v>70</v>
      </c>
      <c r="B24">
        <v>1</v>
      </c>
      <c r="C24" t="s">
        <v>55</v>
      </c>
      <c r="D24" s="17">
        <f>Hired_Labor</f>
        <v>16.5</v>
      </c>
      <c r="E24" s="17">
        <f>B24*D24</f>
        <v>16.5</v>
      </c>
      <c r="F24" s="18" t="s">
        <v>28</v>
      </c>
    </row>
    <row r="25" spans="1:7" x14ac:dyDescent="0.15">
      <c r="A25" t="s">
        <v>35</v>
      </c>
      <c r="B25" s="62">
        <v>1</v>
      </c>
      <c r="C25" s="62" t="s">
        <v>30</v>
      </c>
      <c r="D25" s="63">
        <v>5.84</v>
      </c>
      <c r="E25" s="63">
        <f>B25*D25</f>
        <v>5.84</v>
      </c>
      <c r="F25" s="18" t="s">
        <v>36</v>
      </c>
      <c r="G25" s="3"/>
    </row>
    <row r="26" spans="1:7" x14ac:dyDescent="0.15">
      <c r="A26" s="2" t="s">
        <v>37</v>
      </c>
      <c r="E26" s="19">
        <f>SUM(E15:E25)</f>
        <v>117.16</v>
      </c>
    </row>
    <row r="27" spans="1:7" x14ac:dyDescent="0.15">
      <c r="A27" s="2"/>
      <c r="E27" s="19"/>
    </row>
    <row r="28" spans="1:7" x14ac:dyDescent="0.15">
      <c r="A28" s="61"/>
      <c r="B28" s="61"/>
      <c r="C28" s="61"/>
      <c r="D28" s="61"/>
      <c r="E28" s="61"/>
    </row>
    <row r="29" spans="1:7" ht="15" customHeight="1" x14ac:dyDescent="0.15">
      <c r="A29" s="2" t="s">
        <v>38</v>
      </c>
    </row>
    <row r="30" spans="1:7" x14ac:dyDescent="0.15">
      <c r="A30" t="s">
        <v>292</v>
      </c>
      <c r="B30">
        <v>0.5</v>
      </c>
      <c r="C30" t="s">
        <v>71</v>
      </c>
      <c r="D30" s="17">
        <f>Hired_Labor</f>
        <v>16.5</v>
      </c>
      <c r="E30" s="17">
        <f>B30*D30</f>
        <v>8.25</v>
      </c>
    </row>
    <row r="31" spans="1:7" x14ac:dyDescent="0.15">
      <c r="A31" t="s">
        <v>297</v>
      </c>
      <c r="D31" s="17"/>
    </row>
    <row r="32" spans="1:7" x14ac:dyDescent="0.15">
      <c r="A32" s="3" t="s">
        <v>299</v>
      </c>
      <c r="B32" s="22">
        <f>B8/25</f>
        <v>8</v>
      </c>
      <c r="C32" s="3" t="s">
        <v>101</v>
      </c>
      <c r="D32" s="17">
        <v>1.65</v>
      </c>
      <c r="E32" s="17">
        <f>B32*D32</f>
        <v>13.2</v>
      </c>
      <c r="F32" s="18" t="s">
        <v>72</v>
      </c>
      <c r="G32" s="3"/>
    </row>
    <row r="33" spans="1:7" x14ac:dyDescent="0.15">
      <c r="A33" s="3" t="s">
        <v>300</v>
      </c>
      <c r="B33" s="22">
        <f>B8/25</f>
        <v>8</v>
      </c>
      <c r="C33" s="3" t="s">
        <v>101</v>
      </c>
      <c r="D33" s="17">
        <v>2.65</v>
      </c>
      <c r="E33" s="17">
        <f>B33*D33</f>
        <v>21.2</v>
      </c>
      <c r="F33" s="18" t="s">
        <v>72</v>
      </c>
      <c r="G33" s="3"/>
    </row>
    <row r="34" spans="1:7" x14ac:dyDescent="0.15">
      <c r="A34" s="3" t="s">
        <v>301</v>
      </c>
      <c r="B34" s="22">
        <v>8</v>
      </c>
      <c r="C34" s="3" t="s">
        <v>40</v>
      </c>
      <c r="D34" s="17">
        <v>1.6</v>
      </c>
      <c r="E34" s="17">
        <f>B34*D34</f>
        <v>12.8</v>
      </c>
      <c r="F34" s="18"/>
      <c r="G34" s="3"/>
    </row>
    <row r="35" spans="1:7" x14ac:dyDescent="0.15">
      <c r="A35" t="s">
        <v>125</v>
      </c>
      <c r="B35" s="80">
        <f>Marketing_Pct</f>
        <v>0.1</v>
      </c>
      <c r="C35" s="62" t="s">
        <v>41</v>
      </c>
      <c r="D35" s="63"/>
      <c r="E35" s="63">
        <f>B35*E10</f>
        <v>35</v>
      </c>
    </row>
    <row r="36" spans="1:7" x14ac:dyDescent="0.15">
      <c r="A36" s="2" t="s">
        <v>42</v>
      </c>
      <c r="E36" s="19">
        <f>SUM(E30:E35)</f>
        <v>90.45</v>
      </c>
    </row>
    <row r="38" spans="1:7" x14ac:dyDescent="0.15">
      <c r="A38" t="s">
        <v>43</v>
      </c>
      <c r="E38" s="24">
        <f>(Interest_Pct*0.5*E26)+(Interest_Pct*0.25*E36)</f>
        <v>4.8715499999999992</v>
      </c>
    </row>
    <row r="40" spans="1:7" x14ac:dyDescent="0.15">
      <c r="A40" s="2" t="s">
        <v>44</v>
      </c>
      <c r="B40" s="2"/>
      <c r="C40" s="2"/>
      <c r="D40" s="2"/>
      <c r="E40" s="19">
        <f>SUM(E26+E36+E38)</f>
        <v>212.48155000000003</v>
      </c>
    </row>
    <row r="42" spans="1:7" x14ac:dyDescent="0.15">
      <c r="A42" s="66" t="s">
        <v>45</v>
      </c>
      <c r="B42" s="67"/>
      <c r="C42" s="67"/>
      <c r="D42" s="67"/>
      <c r="E42" s="68">
        <f>E10-E40</f>
        <v>137.51844999999997</v>
      </c>
    </row>
    <row r="43" spans="1:7" x14ac:dyDescent="0.15">
      <c r="A43" s="2"/>
      <c r="E43" s="19"/>
    </row>
    <row r="44" spans="1:7" x14ac:dyDescent="0.15">
      <c r="A44" s="61"/>
      <c r="B44" s="61"/>
      <c r="C44" s="61"/>
      <c r="D44" s="61"/>
      <c r="E44" s="61"/>
    </row>
    <row r="45" spans="1:7" ht="15" customHeight="1" x14ac:dyDescent="0.15">
      <c r="A45" s="2" t="s">
        <v>46</v>
      </c>
    </row>
    <row r="46" spans="1:7" x14ac:dyDescent="0.15">
      <c r="A46" t="s">
        <v>47</v>
      </c>
      <c r="E46" s="17">
        <v>10.34</v>
      </c>
      <c r="F46" s="18" t="s">
        <v>36</v>
      </c>
    </row>
    <row r="47" spans="1:7" x14ac:dyDescent="0.15">
      <c r="A47" t="s">
        <v>48</v>
      </c>
      <c r="E47" s="17">
        <v>8.8000000000000007</v>
      </c>
      <c r="F47" t="s">
        <v>28</v>
      </c>
    </row>
    <row r="48" spans="1:7" x14ac:dyDescent="0.15">
      <c r="A48" t="s">
        <v>49</v>
      </c>
      <c r="E48" s="17">
        <v>1</v>
      </c>
    </row>
    <row r="49" spans="1:5" x14ac:dyDescent="0.15">
      <c r="A49" t="s">
        <v>50</v>
      </c>
      <c r="E49" s="17">
        <f>0.01*E40</f>
        <v>2.1248155000000004</v>
      </c>
    </row>
    <row r="51" spans="1:5" x14ac:dyDescent="0.15">
      <c r="A51" s="2" t="s">
        <v>51</v>
      </c>
      <c r="E51" s="25">
        <f>SUM(E46:E50)</f>
        <v>22.264815500000001</v>
      </c>
    </row>
    <row r="53" spans="1:5" x14ac:dyDescent="0.15">
      <c r="A53" s="2" t="s">
        <v>52</v>
      </c>
      <c r="E53" s="19">
        <f>E40+E51</f>
        <v>234.74636550000002</v>
      </c>
    </row>
    <row r="55" spans="1:5" x14ac:dyDescent="0.15">
      <c r="A55" s="67" t="s">
        <v>53</v>
      </c>
      <c r="B55" s="67"/>
      <c r="C55" s="67"/>
      <c r="D55" s="67"/>
      <c r="E55" s="70">
        <f>E10-E53</f>
        <v>115.25363449999998</v>
      </c>
    </row>
    <row r="57" spans="1:5" x14ac:dyDescent="0.15">
      <c r="A57" t="s">
        <v>74</v>
      </c>
      <c r="B57">
        <v>2</v>
      </c>
      <c r="C57" t="s">
        <v>55</v>
      </c>
      <c r="D57" s="17">
        <f>Operator_Labor</f>
        <v>16.5</v>
      </c>
      <c r="E57" s="17">
        <f>B57*D57</f>
        <v>33</v>
      </c>
    </row>
    <row r="58" spans="1:5" ht="14" thickBot="1" x14ac:dyDescent="0.2">
      <c r="A58" s="1"/>
      <c r="B58" s="1"/>
      <c r="C58" s="1"/>
      <c r="D58" s="1"/>
      <c r="E58" s="1"/>
    </row>
    <row r="59" spans="1:5" ht="14" thickBot="1" x14ac:dyDescent="0.2">
      <c r="A59" s="71" t="s">
        <v>56</v>
      </c>
      <c r="B59" s="1"/>
      <c r="C59" s="1"/>
      <c r="D59" s="1"/>
      <c r="E59" s="72">
        <f>E55-E57</f>
        <v>82.253634499999976</v>
      </c>
    </row>
    <row r="61" spans="1:5" x14ac:dyDescent="0.15">
      <c r="A61" s="18" t="s">
        <v>213</v>
      </c>
    </row>
    <row r="62" spans="1:5" x14ac:dyDescent="0.15">
      <c r="A62" s="18" t="s">
        <v>263</v>
      </c>
    </row>
    <row r="63" spans="1:5" x14ac:dyDescent="0.15">
      <c r="A63" s="18" t="s">
        <v>76</v>
      </c>
    </row>
    <row r="64" spans="1:5" x14ac:dyDescent="0.15">
      <c r="A64" s="18" t="s">
        <v>264</v>
      </c>
    </row>
    <row r="65" spans="1:1" x14ac:dyDescent="0.15">
      <c r="A65" s="18" t="s">
        <v>265</v>
      </c>
    </row>
    <row r="66" spans="1:1" x14ac:dyDescent="0.15">
      <c r="A66" s="18" t="s">
        <v>210</v>
      </c>
    </row>
    <row r="67" spans="1:1" x14ac:dyDescent="0.15">
      <c r="A67" s="18" t="s">
        <v>214</v>
      </c>
    </row>
    <row r="97" spans="1:1" x14ac:dyDescent="0.15">
      <c r="A97" s="2"/>
    </row>
    <row r="98" spans="1:1" x14ac:dyDescent="0.15">
      <c r="A98" s="3"/>
    </row>
    <row r="99" spans="1:1" x14ac:dyDescent="0.15">
      <c r="A99" s="3"/>
    </row>
  </sheetData>
  <pageMargins left="0.75" right="0.75" top="1" bottom="1" header="0.5" footer="0.5"/>
  <pageSetup scale="77"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97"/>
  <sheetViews>
    <sheetView zoomScaleNormal="100" workbookViewId="0">
      <selection activeCell="A33" sqref="A33"/>
    </sheetView>
  </sheetViews>
  <sheetFormatPr baseColWidth="10" defaultColWidth="8.83203125" defaultRowHeight="13" x14ac:dyDescent="0.15"/>
  <cols>
    <col min="1" max="1" width="30.83203125" customWidth="1"/>
    <col min="2" max="2" width="8.1640625" bestFit="1" customWidth="1"/>
    <col min="3" max="3" width="6.1640625" bestFit="1" customWidth="1"/>
    <col min="4" max="4" width="8.1640625" bestFit="1" customWidth="1"/>
    <col min="5" max="5" width="9.1640625" bestFit="1" customWidth="1"/>
    <col min="6" max="6" width="3.1640625" customWidth="1"/>
    <col min="11" max="11" width="20.5" bestFit="1" customWidth="1"/>
  </cols>
  <sheetData>
    <row r="1" spans="1:12" ht="16" x14ac:dyDescent="0.2">
      <c r="A1" s="76" t="s">
        <v>110</v>
      </c>
      <c r="I1" s="2"/>
      <c r="J1" s="3"/>
      <c r="L1" s="30"/>
    </row>
    <row r="2" spans="1:12" x14ac:dyDescent="0.15">
      <c r="A2" s="2" t="s">
        <v>255</v>
      </c>
      <c r="G2" s="2"/>
      <c r="K2" s="3"/>
      <c r="L2" s="2"/>
    </row>
    <row r="3" spans="1:12" s="7" customFormat="1" x14ac:dyDescent="0.15">
      <c r="A3" s="6" t="s">
        <v>180</v>
      </c>
    </row>
    <row r="4" spans="1:12" x14ac:dyDescent="0.15">
      <c r="A4" s="59" t="s">
        <v>251</v>
      </c>
    </row>
    <row r="5" spans="1:12" x14ac:dyDescent="0.15">
      <c r="A5" s="59" t="s">
        <v>252</v>
      </c>
    </row>
    <row r="6" spans="1:12" ht="18.75" customHeight="1" x14ac:dyDescent="0.15">
      <c r="B6" s="87" t="s">
        <v>12</v>
      </c>
      <c r="C6" s="87" t="s">
        <v>13</v>
      </c>
      <c r="D6" s="87" t="s">
        <v>14</v>
      </c>
      <c r="E6" s="87" t="s">
        <v>15</v>
      </c>
    </row>
    <row r="7" spans="1:12" x14ac:dyDescent="0.15">
      <c r="A7" s="2" t="s">
        <v>16</v>
      </c>
      <c r="B7" s="31"/>
      <c r="G7" s="2"/>
      <c r="H7" s="3"/>
    </row>
    <row r="8" spans="1:12" x14ac:dyDescent="0.15">
      <c r="A8" t="s">
        <v>111</v>
      </c>
      <c r="B8" s="89">
        <v>75</v>
      </c>
      <c r="C8" s="87" t="s">
        <v>23</v>
      </c>
      <c r="D8" s="90">
        <v>2</v>
      </c>
      <c r="E8" s="90">
        <f>B8*D8</f>
        <v>150</v>
      </c>
      <c r="F8" s="18" t="s">
        <v>77</v>
      </c>
    </row>
    <row r="9" spans="1:12" x14ac:dyDescent="0.15">
      <c r="B9" s="87"/>
      <c r="C9" s="87"/>
      <c r="D9" s="90"/>
      <c r="E9" s="90">
        <f>B9*D9</f>
        <v>0</v>
      </c>
      <c r="G9" s="3"/>
    </row>
    <row r="10" spans="1:12" ht="15" customHeight="1" x14ac:dyDescent="0.15">
      <c r="A10" t="s">
        <v>61</v>
      </c>
      <c r="B10" s="87"/>
      <c r="C10" s="87"/>
      <c r="D10" s="87"/>
      <c r="E10" s="91">
        <f>SUM(E8:E9)</f>
        <v>150</v>
      </c>
    </row>
    <row r="11" spans="1:12" ht="15" customHeight="1" x14ac:dyDescent="0.15">
      <c r="E11" s="19"/>
    </row>
    <row r="12" spans="1:12" x14ac:dyDescent="0.15">
      <c r="A12" s="61"/>
      <c r="B12" s="61"/>
      <c r="C12" s="61"/>
      <c r="D12" s="61"/>
      <c r="E12" s="61"/>
    </row>
    <row r="13" spans="1:12" ht="15" customHeight="1" x14ac:dyDescent="0.15">
      <c r="A13" s="2" t="s">
        <v>20</v>
      </c>
    </row>
    <row r="14" spans="1:12" x14ac:dyDescent="0.15">
      <c r="A14" t="s">
        <v>21</v>
      </c>
    </row>
    <row r="15" spans="1:12" x14ac:dyDescent="0.15">
      <c r="A15" s="3" t="s">
        <v>112</v>
      </c>
      <c r="B15" s="28">
        <v>75</v>
      </c>
      <c r="C15" s="3" t="s">
        <v>86</v>
      </c>
      <c r="D15" s="17">
        <v>0.15</v>
      </c>
      <c r="E15" s="17">
        <f t="shared" ref="E15:E23" si="0">B15*D15</f>
        <v>11.25</v>
      </c>
      <c r="G15" s="3"/>
    </row>
    <row r="16" spans="1:12" x14ac:dyDescent="0.15">
      <c r="A16" t="s">
        <v>64</v>
      </c>
      <c r="B16">
        <v>1</v>
      </c>
      <c r="C16" t="s">
        <v>23</v>
      </c>
      <c r="D16" s="17">
        <v>0.4</v>
      </c>
      <c r="E16" s="17">
        <f t="shared" si="0"/>
        <v>0.4</v>
      </c>
    </row>
    <row r="17" spans="1:7" x14ac:dyDescent="0.15">
      <c r="A17" t="s">
        <v>88</v>
      </c>
      <c r="B17">
        <v>0.5</v>
      </c>
      <c r="C17" t="s">
        <v>23</v>
      </c>
      <c r="D17" s="17">
        <v>0.6</v>
      </c>
      <c r="E17" s="17">
        <f t="shared" si="0"/>
        <v>0.3</v>
      </c>
    </row>
    <row r="18" spans="1:7" x14ac:dyDescent="0.15">
      <c r="A18" s="3" t="s">
        <v>113</v>
      </c>
      <c r="B18" s="28">
        <v>1</v>
      </c>
      <c r="C18" t="s">
        <v>23</v>
      </c>
      <c r="D18" s="17">
        <v>0.65</v>
      </c>
      <c r="E18" s="17">
        <f t="shared" si="0"/>
        <v>0.65</v>
      </c>
      <c r="G18" s="3"/>
    </row>
    <row r="19" spans="1:7" x14ac:dyDescent="0.15">
      <c r="A19" t="s">
        <v>114</v>
      </c>
      <c r="B19">
        <v>100</v>
      </c>
      <c r="C19" t="s">
        <v>59</v>
      </c>
      <c r="D19" s="17">
        <v>0.05</v>
      </c>
      <c r="E19" s="17">
        <f t="shared" si="0"/>
        <v>5</v>
      </c>
      <c r="F19" s="18" t="s">
        <v>28</v>
      </c>
    </row>
    <row r="20" spans="1:7" x14ac:dyDescent="0.15">
      <c r="A20" t="s">
        <v>68</v>
      </c>
      <c r="B20">
        <v>100</v>
      </c>
      <c r="C20" t="s">
        <v>59</v>
      </c>
      <c r="D20" s="17">
        <v>0.05</v>
      </c>
      <c r="E20" s="17">
        <f t="shared" si="0"/>
        <v>5</v>
      </c>
      <c r="F20" s="18" t="s">
        <v>28</v>
      </c>
    </row>
    <row r="21" spans="1:7" x14ac:dyDescent="0.15">
      <c r="A21" t="s">
        <v>115</v>
      </c>
      <c r="B21">
        <v>1</v>
      </c>
      <c r="C21" t="s">
        <v>30</v>
      </c>
      <c r="D21" s="17">
        <f>Hired_Labor*2+0.25</f>
        <v>33.25</v>
      </c>
      <c r="E21" s="17">
        <f t="shared" si="0"/>
        <v>33.25</v>
      </c>
      <c r="F21" s="18" t="s">
        <v>32</v>
      </c>
    </row>
    <row r="22" spans="1:7" x14ac:dyDescent="0.15">
      <c r="A22" t="s">
        <v>33</v>
      </c>
      <c r="B22">
        <v>1</v>
      </c>
      <c r="C22" t="s">
        <v>30</v>
      </c>
      <c r="D22" s="17">
        <f>Operator_Labor*0.5+0.39</f>
        <v>8.64</v>
      </c>
      <c r="E22" s="17">
        <f t="shared" si="0"/>
        <v>8.64</v>
      </c>
      <c r="F22" s="18" t="s">
        <v>32</v>
      </c>
    </row>
    <row r="23" spans="1:7" x14ac:dyDescent="0.15">
      <c r="A23" t="s">
        <v>116</v>
      </c>
      <c r="B23">
        <v>1</v>
      </c>
      <c r="C23" t="s">
        <v>30</v>
      </c>
      <c r="D23" s="17">
        <f>Operator_Labor*0.5+1.27</f>
        <v>9.52</v>
      </c>
      <c r="E23" s="17">
        <f t="shared" si="0"/>
        <v>9.52</v>
      </c>
      <c r="F23" s="18" t="s">
        <v>32</v>
      </c>
    </row>
    <row r="24" spans="1:7" x14ac:dyDescent="0.15">
      <c r="A24" t="s">
        <v>69</v>
      </c>
      <c r="B24">
        <v>2</v>
      </c>
      <c r="C24" t="s">
        <v>55</v>
      </c>
      <c r="D24" s="17">
        <v>0.65</v>
      </c>
      <c r="E24" s="17">
        <f>B24*D24</f>
        <v>1.3</v>
      </c>
      <c r="F24" s="18" t="s">
        <v>28</v>
      </c>
    </row>
    <row r="25" spans="1:7" x14ac:dyDescent="0.15">
      <c r="A25" t="s">
        <v>35</v>
      </c>
      <c r="B25" s="62">
        <v>1</v>
      </c>
      <c r="C25" s="62" t="s">
        <v>30</v>
      </c>
      <c r="D25" s="63">
        <v>10.11</v>
      </c>
      <c r="E25" s="63">
        <f>B25*D25</f>
        <v>10.11</v>
      </c>
      <c r="F25" s="18" t="s">
        <v>36</v>
      </c>
    </row>
    <row r="26" spans="1:7" x14ac:dyDescent="0.15">
      <c r="A26" s="2" t="s">
        <v>37</v>
      </c>
      <c r="E26" s="19">
        <f>SUM(E15:E25)</f>
        <v>85.42</v>
      </c>
    </row>
    <row r="27" spans="1:7" x14ac:dyDescent="0.15">
      <c r="A27" s="2"/>
      <c r="E27" s="19"/>
    </row>
    <row r="28" spans="1:7" x14ac:dyDescent="0.15">
      <c r="A28" s="61"/>
      <c r="B28" s="61"/>
      <c r="C28" s="61"/>
      <c r="D28" s="61"/>
      <c r="E28" s="61"/>
    </row>
    <row r="29" spans="1:7" ht="15" customHeight="1" x14ac:dyDescent="0.15">
      <c r="A29" s="2" t="s">
        <v>38</v>
      </c>
    </row>
    <row r="30" spans="1:7" x14ac:dyDescent="0.15">
      <c r="A30" s="3" t="s">
        <v>100</v>
      </c>
      <c r="B30" s="22">
        <v>5</v>
      </c>
      <c r="C30" s="3" t="s">
        <v>40</v>
      </c>
      <c r="D30" s="17">
        <v>6.25</v>
      </c>
      <c r="E30" s="17">
        <f>B30*D30</f>
        <v>31.25</v>
      </c>
      <c r="F30" s="18" t="s">
        <v>72</v>
      </c>
      <c r="G30" s="3"/>
    </row>
    <row r="31" spans="1:7" x14ac:dyDescent="0.15">
      <c r="A31" s="3" t="s">
        <v>102</v>
      </c>
      <c r="B31" s="22">
        <v>5</v>
      </c>
      <c r="C31" s="3" t="s">
        <v>101</v>
      </c>
      <c r="D31" s="17">
        <v>0.65</v>
      </c>
      <c r="E31" s="17">
        <f>B31*D31</f>
        <v>3.25</v>
      </c>
      <c r="F31" s="18" t="s">
        <v>72</v>
      </c>
      <c r="G31" s="3"/>
    </row>
    <row r="32" spans="1:7" x14ac:dyDescent="0.15">
      <c r="A32" s="3" t="s">
        <v>295</v>
      </c>
      <c r="B32" s="22">
        <v>5</v>
      </c>
      <c r="C32" s="3" t="s">
        <v>40</v>
      </c>
      <c r="D32" s="17">
        <v>1.25</v>
      </c>
      <c r="E32" s="17">
        <f>B32*D32</f>
        <v>6.25</v>
      </c>
      <c r="F32" s="18"/>
      <c r="G32" s="3"/>
    </row>
    <row r="33" spans="1:6" x14ac:dyDescent="0.15">
      <c r="A33" t="s">
        <v>125</v>
      </c>
      <c r="B33" s="32">
        <f>Marketing_Pct</f>
        <v>0.1</v>
      </c>
      <c r="C33" t="s">
        <v>41</v>
      </c>
      <c r="D33" s="17"/>
      <c r="E33" s="17">
        <f>B33*E10</f>
        <v>15</v>
      </c>
    </row>
    <row r="34" spans="1:6" x14ac:dyDescent="0.15">
      <c r="A34" t="s">
        <v>73</v>
      </c>
      <c r="B34" s="64">
        <v>1</v>
      </c>
      <c r="C34" s="65" t="s">
        <v>30</v>
      </c>
      <c r="D34" s="63">
        <v>0</v>
      </c>
      <c r="E34" s="63">
        <f>B34*D34</f>
        <v>0</v>
      </c>
      <c r="F34" s="18"/>
    </row>
    <row r="35" spans="1:6" x14ac:dyDescent="0.15">
      <c r="A35" s="2" t="s">
        <v>42</v>
      </c>
      <c r="E35" s="19">
        <f>SUM(E30:E34)</f>
        <v>55.75</v>
      </c>
    </row>
    <row r="37" spans="1:6" x14ac:dyDescent="0.15">
      <c r="A37" t="s">
        <v>43</v>
      </c>
      <c r="E37" s="24">
        <f>(Interest_Pct*0.5*E26)+(Interest_Pct*0.25*E35)</f>
        <v>3.3988499999999995</v>
      </c>
    </row>
    <row r="39" spans="1:6" x14ac:dyDescent="0.15">
      <c r="A39" s="2" t="s">
        <v>44</v>
      </c>
      <c r="B39" s="2"/>
      <c r="C39" s="2"/>
      <c r="D39" s="2"/>
      <c r="E39" s="19">
        <f>SUM(E26+E35+E37)</f>
        <v>144.56885000000003</v>
      </c>
    </row>
    <row r="41" spans="1:6" x14ac:dyDescent="0.15">
      <c r="A41" s="66" t="s">
        <v>45</v>
      </c>
      <c r="B41" s="67"/>
      <c r="C41" s="67"/>
      <c r="D41" s="67"/>
      <c r="E41" s="68">
        <f>E10-E39</f>
        <v>5.4311499999999739</v>
      </c>
    </row>
    <row r="42" spans="1:6" x14ac:dyDescent="0.15">
      <c r="A42" s="2"/>
      <c r="E42" s="19"/>
    </row>
    <row r="43" spans="1:6" x14ac:dyDescent="0.15">
      <c r="A43" s="61"/>
      <c r="B43" s="61"/>
      <c r="C43" s="61"/>
      <c r="D43" s="61"/>
      <c r="E43" s="61"/>
    </row>
    <row r="44" spans="1:6" ht="15" customHeight="1" x14ac:dyDescent="0.15">
      <c r="A44" s="2" t="s">
        <v>46</v>
      </c>
    </row>
    <row r="45" spans="1:6" x14ac:dyDescent="0.15">
      <c r="A45" t="s">
        <v>47</v>
      </c>
      <c r="E45" s="17">
        <v>8.74</v>
      </c>
      <c r="F45" s="18" t="s">
        <v>36</v>
      </c>
    </row>
    <row r="46" spans="1:6" x14ac:dyDescent="0.15">
      <c r="A46" t="s">
        <v>48</v>
      </c>
      <c r="E46" s="17">
        <v>9.7899999999999991</v>
      </c>
      <c r="F46" t="s">
        <v>28</v>
      </c>
    </row>
    <row r="47" spans="1:6" x14ac:dyDescent="0.15">
      <c r="A47" t="s">
        <v>49</v>
      </c>
      <c r="E47" s="17">
        <v>1</v>
      </c>
    </row>
    <row r="48" spans="1:6" x14ac:dyDescent="0.15">
      <c r="A48" t="s">
        <v>50</v>
      </c>
      <c r="E48" s="17">
        <f>0.01*E39</f>
        <v>1.4456885000000004</v>
      </c>
    </row>
    <row r="49" spans="1:5" x14ac:dyDescent="0.15">
      <c r="A49" s="2" t="s">
        <v>51</v>
      </c>
      <c r="E49" s="25">
        <f>SUM(E45:E48)</f>
        <v>20.9756885</v>
      </c>
    </row>
    <row r="51" spans="1:5" x14ac:dyDescent="0.15">
      <c r="A51" s="2" t="s">
        <v>52</v>
      </c>
      <c r="E51" s="19">
        <f>E39+E49</f>
        <v>165.54453850000002</v>
      </c>
    </row>
    <row r="53" spans="1:5" x14ac:dyDescent="0.15">
      <c r="A53" s="67" t="s">
        <v>53</v>
      </c>
      <c r="B53" s="67"/>
      <c r="C53" s="67"/>
      <c r="D53" s="67"/>
      <c r="E53" s="70">
        <f>E10-E51</f>
        <v>-15.544538500000016</v>
      </c>
    </row>
    <row r="55" spans="1:5" x14ac:dyDescent="0.15">
      <c r="A55" t="s">
        <v>117</v>
      </c>
      <c r="B55">
        <v>2</v>
      </c>
      <c r="C55" t="s">
        <v>55</v>
      </c>
      <c r="D55" s="17">
        <f>Operator_Labor</f>
        <v>16.5</v>
      </c>
      <c r="E55" s="17">
        <f>B55*D55</f>
        <v>33</v>
      </c>
    </row>
    <row r="56" spans="1:5" ht="14" thickBot="1" x14ac:dyDescent="0.2">
      <c r="A56" s="1"/>
      <c r="B56" s="1"/>
      <c r="C56" s="1"/>
      <c r="D56" s="1"/>
      <c r="E56" s="1"/>
    </row>
    <row r="57" spans="1:5" ht="14" thickBot="1" x14ac:dyDescent="0.2">
      <c r="A57" s="71" t="s">
        <v>56</v>
      </c>
      <c r="B57" s="1"/>
      <c r="C57" s="1"/>
      <c r="D57" s="1"/>
      <c r="E57" s="72">
        <f>E53-E55</f>
        <v>-48.544538500000016</v>
      </c>
    </row>
    <row r="59" spans="1:5" x14ac:dyDescent="0.15">
      <c r="A59" s="18" t="s">
        <v>209</v>
      </c>
    </row>
    <row r="60" spans="1:5" x14ac:dyDescent="0.15">
      <c r="A60" s="18" t="s">
        <v>225</v>
      </c>
    </row>
    <row r="61" spans="1:5" x14ac:dyDescent="0.15">
      <c r="A61" s="18" t="s">
        <v>232</v>
      </c>
    </row>
    <row r="62" spans="1:5" x14ac:dyDescent="0.15">
      <c r="A62" s="18" t="s">
        <v>233</v>
      </c>
    </row>
    <row r="63" spans="1:5" x14ac:dyDescent="0.15">
      <c r="A63" s="18" t="s">
        <v>256</v>
      </c>
    </row>
    <row r="64" spans="1:5" x14ac:dyDescent="0.15">
      <c r="A64" s="18" t="s">
        <v>265</v>
      </c>
    </row>
    <row r="65" spans="1:1" x14ac:dyDescent="0.15">
      <c r="A65" s="18" t="s">
        <v>234</v>
      </c>
    </row>
    <row r="66" spans="1:1" x14ac:dyDescent="0.15">
      <c r="A66" t="s">
        <v>235</v>
      </c>
    </row>
    <row r="95" spans="1:1" x14ac:dyDescent="0.15">
      <c r="A95" s="2"/>
    </row>
    <row r="96" spans="1:1" x14ac:dyDescent="0.15">
      <c r="A96" s="3"/>
    </row>
    <row r="97" spans="1:1" x14ac:dyDescent="0.15">
      <c r="A97" s="3"/>
    </row>
  </sheetData>
  <pageMargins left="0.75" right="0.75" top="1" bottom="1" header="0.5" footer="0.5"/>
  <pageSetup scale="77"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L72"/>
  <sheetViews>
    <sheetView zoomScaleNormal="100" workbookViewId="0">
      <selection activeCell="M19" sqref="M19"/>
    </sheetView>
  </sheetViews>
  <sheetFormatPr baseColWidth="10" defaultColWidth="8.83203125" defaultRowHeight="13" x14ac:dyDescent="0.15"/>
  <cols>
    <col min="1" max="1" width="32" customWidth="1"/>
    <col min="2" max="2" width="8.1640625" bestFit="1" customWidth="1"/>
    <col min="3" max="3" width="6.1640625" bestFit="1" customWidth="1"/>
    <col min="4" max="4" width="8.1640625" bestFit="1" customWidth="1"/>
    <col min="5" max="5" width="9.1640625" bestFit="1" customWidth="1"/>
    <col min="6" max="6" width="3.6640625" customWidth="1"/>
  </cols>
  <sheetData>
    <row r="1" spans="1:12" ht="16" x14ac:dyDescent="0.2">
      <c r="A1" s="76" t="s">
        <v>253</v>
      </c>
    </row>
    <row r="2" spans="1:12" x14ac:dyDescent="0.15">
      <c r="A2" s="2" t="s">
        <v>255</v>
      </c>
      <c r="G2" s="2"/>
      <c r="K2" s="3"/>
      <c r="L2" s="2"/>
    </row>
    <row r="3" spans="1:12" s="7" customFormat="1" x14ac:dyDescent="0.15">
      <c r="A3" s="6" t="s">
        <v>180</v>
      </c>
    </row>
    <row r="4" spans="1:12" x14ac:dyDescent="0.15">
      <c r="A4" s="59" t="s">
        <v>249</v>
      </c>
    </row>
    <row r="5" spans="1:12" x14ac:dyDescent="0.15">
      <c r="A5" s="59" t="s">
        <v>250</v>
      </c>
    </row>
    <row r="6" spans="1:12" ht="18.75" customHeight="1" x14ac:dyDescent="0.15">
      <c r="B6" s="105" t="s">
        <v>12</v>
      </c>
      <c r="C6" s="105" t="s">
        <v>13</v>
      </c>
      <c r="D6" s="105" t="s">
        <v>14</v>
      </c>
      <c r="E6" s="105" t="s">
        <v>15</v>
      </c>
    </row>
    <row r="7" spans="1:12" x14ac:dyDescent="0.15">
      <c r="A7" s="2" t="s">
        <v>16</v>
      </c>
      <c r="B7" s="87"/>
      <c r="C7" s="87"/>
      <c r="D7" s="87"/>
      <c r="E7" s="87"/>
    </row>
    <row r="8" spans="1:12" x14ac:dyDescent="0.15">
      <c r="A8" t="s">
        <v>118</v>
      </c>
      <c r="B8" s="92">
        <v>20</v>
      </c>
      <c r="C8" s="87" t="s">
        <v>40</v>
      </c>
      <c r="D8" s="90">
        <v>30</v>
      </c>
      <c r="E8" s="90">
        <f>B8*D8</f>
        <v>600</v>
      </c>
      <c r="F8" s="18" t="s">
        <v>77</v>
      </c>
    </row>
    <row r="9" spans="1:12" x14ac:dyDescent="0.15">
      <c r="A9" s="2"/>
      <c r="B9" s="92"/>
      <c r="C9" s="87"/>
      <c r="D9" s="90"/>
      <c r="E9" s="90">
        <f>B9*D9</f>
        <v>0</v>
      </c>
    </row>
    <row r="10" spans="1:12" x14ac:dyDescent="0.15">
      <c r="A10" t="s">
        <v>61</v>
      </c>
      <c r="E10" s="102">
        <f>SUM(E8:E9)</f>
        <v>600</v>
      </c>
      <c r="H10" s="3"/>
    </row>
    <row r="11" spans="1:12" ht="10" customHeight="1" x14ac:dyDescent="0.15"/>
    <row r="12" spans="1:12" x14ac:dyDescent="0.15">
      <c r="A12" s="61"/>
      <c r="B12" s="61"/>
      <c r="C12" s="61"/>
      <c r="D12" s="61"/>
      <c r="E12" s="61"/>
    </row>
    <row r="13" spans="1:12" ht="16" customHeight="1" x14ac:dyDescent="0.15">
      <c r="A13" s="2" t="s">
        <v>20</v>
      </c>
    </row>
    <row r="14" spans="1:12" x14ac:dyDescent="0.15">
      <c r="A14" t="s">
        <v>21</v>
      </c>
    </row>
    <row r="15" spans="1:12" x14ac:dyDescent="0.15">
      <c r="A15" t="s">
        <v>119</v>
      </c>
      <c r="B15">
        <v>200</v>
      </c>
      <c r="C15" s="34" t="s">
        <v>63</v>
      </c>
      <c r="D15" s="17">
        <v>0.3</v>
      </c>
      <c r="E15" s="17">
        <f t="shared" ref="E15:E25" si="0">B15*D15</f>
        <v>60</v>
      </c>
      <c r="H15" s="3"/>
    </row>
    <row r="16" spans="1:12" x14ac:dyDescent="0.15">
      <c r="A16" t="s">
        <v>120</v>
      </c>
      <c r="B16">
        <v>1</v>
      </c>
      <c r="C16" t="s">
        <v>71</v>
      </c>
      <c r="D16" s="17">
        <f>Hired_Labor</f>
        <v>16.5</v>
      </c>
      <c r="E16" s="17">
        <f t="shared" si="0"/>
        <v>16.5</v>
      </c>
      <c r="H16" s="3"/>
    </row>
    <row r="17" spans="1:8" x14ac:dyDescent="0.15">
      <c r="A17" s="3" t="s">
        <v>121</v>
      </c>
      <c r="B17">
        <v>2</v>
      </c>
      <c r="C17" s="3" t="s">
        <v>23</v>
      </c>
      <c r="D17" s="17">
        <v>0.4</v>
      </c>
      <c r="E17" s="17">
        <f t="shared" si="0"/>
        <v>0.8</v>
      </c>
    </row>
    <row r="18" spans="1:8" x14ac:dyDescent="0.15">
      <c r="A18" s="3" t="s">
        <v>122</v>
      </c>
      <c r="B18" s="29">
        <v>0.05</v>
      </c>
      <c r="C18" s="3" t="s">
        <v>23</v>
      </c>
      <c r="D18" s="17">
        <v>6.5</v>
      </c>
      <c r="E18" s="17">
        <f t="shared" si="0"/>
        <v>0.32500000000000001</v>
      </c>
      <c r="H18" s="3"/>
    </row>
    <row r="19" spans="1:8" x14ac:dyDescent="0.15">
      <c r="A19" s="3" t="s">
        <v>123</v>
      </c>
      <c r="B19">
        <v>8</v>
      </c>
      <c r="C19" s="3" t="s">
        <v>23</v>
      </c>
      <c r="D19" s="17">
        <v>0.65</v>
      </c>
      <c r="E19" s="17">
        <f t="shared" si="0"/>
        <v>5.2</v>
      </c>
      <c r="H19" s="3"/>
    </row>
    <row r="20" spans="1:8" x14ac:dyDescent="0.15">
      <c r="A20" s="3" t="s">
        <v>99</v>
      </c>
      <c r="B20">
        <v>100</v>
      </c>
      <c r="C20" t="s">
        <v>27</v>
      </c>
      <c r="D20" s="17">
        <v>0.1</v>
      </c>
      <c r="E20" s="17">
        <f t="shared" si="0"/>
        <v>10</v>
      </c>
      <c r="F20" s="18" t="s">
        <v>32</v>
      </c>
      <c r="H20" s="3"/>
    </row>
    <row r="21" spans="1:8" x14ac:dyDescent="0.15">
      <c r="A21" s="3" t="s">
        <v>31</v>
      </c>
      <c r="B21">
        <v>1</v>
      </c>
      <c r="C21" t="s">
        <v>30</v>
      </c>
      <c r="D21" s="17">
        <f>Hired_Labor*2+0.65</f>
        <v>33.65</v>
      </c>
      <c r="E21" s="17">
        <f t="shared" si="0"/>
        <v>33.65</v>
      </c>
      <c r="F21" s="18" t="s">
        <v>36</v>
      </c>
      <c r="H21" s="3"/>
    </row>
    <row r="22" spans="1:8" x14ac:dyDescent="0.15">
      <c r="A22" s="3" t="s">
        <v>33</v>
      </c>
      <c r="B22">
        <v>1</v>
      </c>
      <c r="C22" s="3" t="s">
        <v>30</v>
      </c>
      <c r="D22" s="17">
        <f>Operator_Labor*0.5+1.6</f>
        <v>9.85</v>
      </c>
      <c r="E22" s="17">
        <f t="shared" si="0"/>
        <v>9.85</v>
      </c>
      <c r="F22" s="18" t="s">
        <v>36</v>
      </c>
      <c r="H22" s="3"/>
    </row>
    <row r="23" spans="1:8" x14ac:dyDescent="0.15">
      <c r="A23" s="3" t="s">
        <v>34</v>
      </c>
      <c r="B23">
        <v>1</v>
      </c>
      <c r="C23" s="3" t="s">
        <v>30</v>
      </c>
      <c r="D23" s="17">
        <f>Operator_Labor*0.5+9.9</f>
        <v>18.149999999999999</v>
      </c>
      <c r="E23" s="17">
        <f t="shared" si="0"/>
        <v>18.149999999999999</v>
      </c>
      <c r="F23" s="18" t="s">
        <v>36</v>
      </c>
      <c r="H23" s="3"/>
    </row>
    <row r="24" spans="1:8" x14ac:dyDescent="0.15">
      <c r="A24" t="s">
        <v>69</v>
      </c>
      <c r="B24">
        <v>2</v>
      </c>
      <c r="C24" t="s">
        <v>55</v>
      </c>
      <c r="D24" s="17">
        <v>0.65</v>
      </c>
      <c r="E24" s="17">
        <f t="shared" si="0"/>
        <v>1.3</v>
      </c>
      <c r="F24" s="18" t="s">
        <v>28</v>
      </c>
      <c r="H24" s="3"/>
    </row>
    <row r="25" spans="1:8" x14ac:dyDescent="0.15">
      <c r="A25" t="s">
        <v>35</v>
      </c>
      <c r="B25">
        <v>1</v>
      </c>
      <c r="C25" t="s">
        <v>30</v>
      </c>
      <c r="D25" s="17">
        <v>4.62</v>
      </c>
      <c r="E25" s="17">
        <f t="shared" si="0"/>
        <v>4.62</v>
      </c>
      <c r="F25" s="18" t="s">
        <v>72</v>
      </c>
      <c r="H25" s="3"/>
    </row>
    <row r="26" spans="1:8" x14ac:dyDescent="0.15">
      <c r="A26" s="2" t="s">
        <v>37</v>
      </c>
      <c r="E26" s="19">
        <f>SUM(E15:E25)</f>
        <v>160.39500000000001</v>
      </c>
    </row>
    <row r="28" spans="1:8" x14ac:dyDescent="0.15">
      <c r="A28" s="61"/>
      <c r="B28" s="61"/>
      <c r="C28" s="61"/>
      <c r="D28" s="61"/>
      <c r="E28" s="61"/>
    </row>
    <row r="29" spans="1:8" ht="16" customHeight="1" x14ac:dyDescent="0.15">
      <c r="A29" s="2" t="s">
        <v>38</v>
      </c>
    </row>
    <row r="30" spans="1:8" x14ac:dyDescent="0.15">
      <c r="A30" t="s">
        <v>295</v>
      </c>
      <c r="B30">
        <f>B8</f>
        <v>20</v>
      </c>
      <c r="C30" t="s">
        <v>40</v>
      </c>
      <c r="D30" s="17">
        <v>1.5</v>
      </c>
      <c r="E30" s="17">
        <f>B30*D30</f>
        <v>30</v>
      </c>
      <c r="H30" s="3"/>
    </row>
    <row r="31" spans="1:8" x14ac:dyDescent="0.15">
      <c r="A31" t="s">
        <v>302</v>
      </c>
      <c r="B31">
        <v>3</v>
      </c>
      <c r="C31" t="s">
        <v>124</v>
      </c>
      <c r="D31" s="17">
        <v>20</v>
      </c>
      <c r="E31" s="17">
        <f>B31*D31</f>
        <v>60</v>
      </c>
      <c r="H31" s="3"/>
    </row>
    <row r="32" spans="1:8" x14ac:dyDescent="0.15">
      <c r="A32" s="3" t="s">
        <v>303</v>
      </c>
      <c r="B32">
        <v>0.5</v>
      </c>
      <c r="C32" t="s">
        <v>71</v>
      </c>
      <c r="D32" s="17">
        <f>Hired_Labor</f>
        <v>16.5</v>
      </c>
      <c r="E32" s="17">
        <f>B32*D32</f>
        <v>8.25</v>
      </c>
      <c r="H32" s="3"/>
    </row>
    <row r="33" spans="1:8" x14ac:dyDescent="0.15">
      <c r="A33" s="3" t="s">
        <v>304</v>
      </c>
      <c r="D33" s="17"/>
    </row>
    <row r="34" spans="1:8" x14ac:dyDescent="0.15">
      <c r="A34" t="s">
        <v>299</v>
      </c>
      <c r="B34" s="17">
        <v>1.45</v>
      </c>
      <c r="C34" t="s">
        <v>101</v>
      </c>
      <c r="D34" s="17"/>
      <c r="E34" s="17">
        <f>B8*B34</f>
        <v>29</v>
      </c>
      <c r="F34" s="18" t="s">
        <v>98</v>
      </c>
      <c r="H34" s="3"/>
    </row>
    <row r="35" spans="1:8" x14ac:dyDescent="0.15">
      <c r="A35" t="s">
        <v>305</v>
      </c>
      <c r="B35" s="17">
        <v>2.2999999999999998</v>
      </c>
      <c r="C35" t="s">
        <v>101</v>
      </c>
      <c r="D35" s="17"/>
      <c r="E35" s="17">
        <f>B8*B35</f>
        <v>46</v>
      </c>
      <c r="F35" s="18" t="s">
        <v>98</v>
      </c>
      <c r="H35" s="3"/>
    </row>
    <row r="36" spans="1:8" x14ac:dyDescent="0.15">
      <c r="A36" t="s">
        <v>306</v>
      </c>
      <c r="B36" s="23">
        <f>Marketing_Pct</f>
        <v>0.1</v>
      </c>
      <c r="C36" t="s">
        <v>41</v>
      </c>
      <c r="D36" s="17"/>
      <c r="E36" s="17">
        <f>B36*E10</f>
        <v>60</v>
      </c>
    </row>
    <row r="37" spans="1:8" x14ac:dyDescent="0.15">
      <c r="A37" t="s">
        <v>307</v>
      </c>
      <c r="B37" s="82">
        <v>1</v>
      </c>
      <c r="C37" s="65" t="s">
        <v>30</v>
      </c>
      <c r="D37" s="63">
        <v>0</v>
      </c>
      <c r="E37" s="63">
        <f>B37*D37</f>
        <v>0</v>
      </c>
      <c r="F37" s="18" t="s">
        <v>72</v>
      </c>
    </row>
    <row r="38" spans="1:8" x14ac:dyDescent="0.15">
      <c r="A38" s="2" t="s">
        <v>42</v>
      </c>
      <c r="E38" s="19">
        <f>SUM(E30:E37)</f>
        <v>233.25</v>
      </c>
    </row>
    <row r="40" spans="1:8" x14ac:dyDescent="0.15">
      <c r="A40" t="s">
        <v>43</v>
      </c>
      <c r="E40" s="24">
        <f>(Interest_Pct*0.5*E26)+(Interest_Pct*0.25*E38)</f>
        <v>8.3105999999999991</v>
      </c>
    </row>
    <row r="42" spans="1:8" x14ac:dyDescent="0.15">
      <c r="A42" s="2" t="s">
        <v>44</v>
      </c>
      <c r="B42" s="2"/>
      <c r="C42" s="2"/>
      <c r="D42" s="2"/>
      <c r="E42" s="19">
        <f>SUM(E26+E38+E40)</f>
        <v>401.9556</v>
      </c>
    </row>
    <row r="44" spans="1:8" x14ac:dyDescent="0.15">
      <c r="A44" s="66" t="s">
        <v>45</v>
      </c>
      <c r="B44" s="67"/>
      <c r="C44" s="67"/>
      <c r="D44" s="67"/>
      <c r="E44" s="68">
        <f>E10-E42</f>
        <v>198.0444</v>
      </c>
    </row>
    <row r="46" spans="1:8" x14ac:dyDescent="0.15">
      <c r="A46" s="61"/>
      <c r="B46" s="61"/>
      <c r="C46" s="61"/>
      <c r="D46" s="61"/>
      <c r="E46" s="61"/>
    </row>
    <row r="47" spans="1:8" ht="16" customHeight="1" x14ac:dyDescent="0.15">
      <c r="A47" s="2" t="s">
        <v>46</v>
      </c>
    </row>
    <row r="48" spans="1:8" x14ac:dyDescent="0.15">
      <c r="A48" t="s">
        <v>47</v>
      </c>
      <c r="E48" s="17">
        <v>11.493000000000002</v>
      </c>
      <c r="F48" s="18" t="s">
        <v>72</v>
      </c>
    </row>
    <row r="49" spans="1:7" x14ac:dyDescent="0.15">
      <c r="A49" t="s">
        <v>126</v>
      </c>
      <c r="E49" s="17">
        <v>20</v>
      </c>
      <c r="F49" s="18"/>
    </row>
    <row r="50" spans="1:7" x14ac:dyDescent="0.15">
      <c r="A50" t="s">
        <v>127</v>
      </c>
      <c r="E50" s="17">
        <v>7.8572000000000006</v>
      </c>
      <c r="G50" s="3"/>
    </row>
    <row r="51" spans="1:7" x14ac:dyDescent="0.15">
      <c r="A51" t="s">
        <v>49</v>
      </c>
      <c r="E51" s="17">
        <v>1</v>
      </c>
    </row>
    <row r="52" spans="1:7" x14ac:dyDescent="0.15">
      <c r="A52" t="s">
        <v>50</v>
      </c>
      <c r="E52" s="17">
        <f>0.01*E10</f>
        <v>6</v>
      </c>
    </row>
    <row r="54" spans="1:7" x14ac:dyDescent="0.15">
      <c r="A54" s="2" t="s">
        <v>51</v>
      </c>
      <c r="E54" s="25">
        <f>SUM(E48:E53)</f>
        <v>46.350200000000001</v>
      </c>
    </row>
    <row r="56" spans="1:7" x14ac:dyDescent="0.15">
      <c r="A56" s="2" t="s">
        <v>52</v>
      </c>
      <c r="E56" s="19">
        <f>E42+E54</f>
        <v>448.30579999999998</v>
      </c>
    </row>
    <row r="58" spans="1:7" x14ac:dyDescent="0.15">
      <c r="A58" s="67" t="s">
        <v>53</v>
      </c>
      <c r="B58" s="67"/>
      <c r="C58" s="67"/>
      <c r="D58" s="67"/>
      <c r="E58" s="70">
        <f>E10-E56</f>
        <v>151.69420000000002</v>
      </c>
    </row>
    <row r="60" spans="1:7" x14ac:dyDescent="0.15">
      <c r="A60" t="s">
        <v>54</v>
      </c>
      <c r="B60">
        <v>2</v>
      </c>
      <c r="C60" t="s">
        <v>55</v>
      </c>
      <c r="D60" s="17">
        <f>Operator_Labor</f>
        <v>16.5</v>
      </c>
      <c r="E60" s="17">
        <f>B60*D60</f>
        <v>33</v>
      </c>
    </row>
    <row r="61" spans="1:7" ht="14" thickBot="1" x14ac:dyDescent="0.2">
      <c r="A61" s="1"/>
      <c r="B61" s="1"/>
      <c r="C61" s="1"/>
      <c r="D61" s="1"/>
      <c r="E61" s="1"/>
    </row>
    <row r="62" spans="1:7" ht="14" thickBot="1" x14ac:dyDescent="0.2">
      <c r="A62" s="71" t="s">
        <v>56</v>
      </c>
      <c r="B62" s="1"/>
      <c r="C62" s="1"/>
      <c r="D62" s="1"/>
      <c r="E62" s="72">
        <f>E58-E60</f>
        <v>118.69420000000002</v>
      </c>
    </row>
    <row r="64" spans="1:7" x14ac:dyDescent="0.15">
      <c r="A64" s="18" t="s">
        <v>215</v>
      </c>
    </row>
    <row r="65" spans="1:1" x14ac:dyDescent="0.15">
      <c r="A65" s="18" t="s">
        <v>225</v>
      </c>
    </row>
    <row r="66" spans="1:1" x14ac:dyDescent="0.15">
      <c r="A66" s="18" t="s">
        <v>76</v>
      </c>
    </row>
    <row r="67" spans="1:1" x14ac:dyDescent="0.15">
      <c r="A67" s="18" t="s">
        <v>328</v>
      </c>
    </row>
    <row r="68" spans="1:1" x14ac:dyDescent="0.15">
      <c r="A68" s="18" t="s">
        <v>267</v>
      </c>
    </row>
    <row r="69" spans="1:1" x14ac:dyDescent="0.15">
      <c r="A69" s="18" t="s">
        <v>236</v>
      </c>
    </row>
    <row r="70" spans="1:1" x14ac:dyDescent="0.15">
      <c r="A70" s="18" t="s">
        <v>268</v>
      </c>
    </row>
    <row r="71" spans="1:1" x14ac:dyDescent="0.15">
      <c r="A71" s="18" t="s">
        <v>269</v>
      </c>
    </row>
    <row r="72" spans="1:1" x14ac:dyDescent="0.15">
      <c r="A72" s="18"/>
    </row>
  </sheetData>
  <pageMargins left="0.75" right="0.75" top="1" bottom="1" header="0.5" footer="0.5"/>
  <pageSetup scale="74" orientation="portrait" horizontalDpi="300" verticalDpi="300"/>
  <headerFooter alignWithMargins="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19</vt:i4>
      </vt:variant>
      <vt:variant>
        <vt:lpstr>Named Ranges</vt:lpstr>
      </vt:variant>
      <vt:variant>
        <vt:i4>4</vt:i4>
      </vt:variant>
    </vt:vector>
  </HeadingPairs>
  <TitlesOfParts>
    <vt:vector size="23" baseType="lpstr">
      <vt:lpstr>Directions &amp; Variables</vt:lpstr>
      <vt:lpstr>Bean</vt:lpstr>
      <vt:lpstr>Broccoli</vt:lpstr>
      <vt:lpstr>Cabbage</vt:lpstr>
      <vt:lpstr>Cantaloupe</vt:lpstr>
      <vt:lpstr>Cucumbers</vt:lpstr>
      <vt:lpstr>Eggplant</vt:lpstr>
      <vt:lpstr>Okra</vt:lpstr>
      <vt:lpstr>Bell Pepper</vt:lpstr>
      <vt:lpstr>Jalapeno Pepper</vt:lpstr>
      <vt:lpstr>Potatoes</vt:lpstr>
      <vt:lpstr>Pumpkin</vt:lpstr>
      <vt:lpstr>Winter Squash</vt:lpstr>
      <vt:lpstr>Summer Squash</vt:lpstr>
      <vt:lpstr>Sweet Corn</vt:lpstr>
      <vt:lpstr>Sweet Potato</vt:lpstr>
      <vt:lpstr>Tomato</vt:lpstr>
      <vt:lpstr>Seedless Watermelon</vt:lpstr>
      <vt:lpstr>Seeded Watermelon</vt:lpstr>
      <vt:lpstr>Hired_Labor</vt:lpstr>
      <vt:lpstr>Interest_Pct</vt:lpstr>
      <vt:lpstr>Marketing_Pct</vt:lpstr>
      <vt:lpstr>Operator_Labor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Ernst</dc:creator>
  <cp:lastModifiedBy>Microsoft Office User</cp:lastModifiedBy>
  <cp:lastPrinted>2017-11-20T15:07:36Z</cp:lastPrinted>
  <dcterms:created xsi:type="dcterms:W3CDTF">2017-10-13T14:22:22Z</dcterms:created>
  <dcterms:modified xsi:type="dcterms:W3CDTF">2023-05-10T15:41:28Z</dcterms:modified>
</cp:coreProperties>
</file>