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330"/>
  <workbookPr showInkAnnotation="0" checkCompatibility="1" autoCompressPictures="0"/>
  <bookViews>
    <workbookView xWindow="0" yWindow="0" windowWidth="25520" windowHeight="15600" tabRatio="948"/>
  </bookViews>
  <sheets>
    <sheet name="Title Page" sheetId="63" r:id="rId1"/>
    <sheet name="Workbook Index" sheetId="180" r:id="rId2"/>
    <sheet name="Budget Summary" sheetId="175" r:id="rId3"/>
    <sheet name="Detailed Summary of Crop Costs" sheetId="179" r:id="rId4"/>
    <sheet name="BW1-Bed and Row Spacing" sheetId="128" r:id="rId5"/>
    <sheet name="BW2-Field Act. Labor &amp; Mach." sheetId="2" r:id="rId6"/>
    <sheet name="BW3-Variable Input" sheetId="93" r:id="rId7"/>
    <sheet name="BW4-Transplant Production" sheetId="34" r:id="rId8"/>
    <sheet name="BW5-Irrigation" sheetId="91" r:id="rId9"/>
    <sheet name="BW6-Harvest and Wash-Pack" sheetId="92" r:id="rId10"/>
    <sheet name="BW7-Yield" sheetId="178" r:id="rId11"/>
    <sheet name="Beans, Green" sheetId="114" r:id="rId12"/>
    <sheet name="Beets" sheetId="99" r:id="rId13"/>
    <sheet name="Broccoli" sheetId="109" r:id="rId14"/>
    <sheet name="Brussels Sprouts" sheetId="110" r:id="rId15"/>
    <sheet name="Cabbage" sheetId="111" r:id="rId16"/>
    <sheet name="Carrots" sheetId="101" r:id="rId17"/>
    <sheet name="Cauliflower" sheetId="112" r:id="rId18"/>
    <sheet name="Chard, Swiss" sheetId="123" r:id="rId19"/>
    <sheet name="Corn, Sweet" sheetId="108" r:id="rId20"/>
    <sheet name="Cucumbers" sheetId="107" r:id="rId21"/>
    <sheet name="Eggplant" sheetId="104" r:id="rId22"/>
    <sheet name="Garlic" sheetId="116" r:id="rId23"/>
    <sheet name="Greens, KaleCollards" sheetId="125" r:id="rId24"/>
    <sheet name="Greens, Salad" sheetId="124" r:id="rId25"/>
    <sheet name="Herbs, Summer Annual" sheetId="127" r:id="rId26"/>
    <sheet name="Kohlrabi" sheetId="113" r:id="rId27"/>
    <sheet name="Leeks" sheetId="120" r:id="rId28"/>
    <sheet name="Lettuce, Head" sheetId="126" r:id="rId29"/>
    <sheet name="Muskmelon" sheetId="106" r:id="rId30"/>
    <sheet name="Onions, Bulb" sheetId="119" r:id="rId31"/>
    <sheet name="Peppers" sheetId="96" r:id="rId32"/>
    <sheet name="Potatoes" sheetId="115" r:id="rId33"/>
    <sheet name="Potatoes, Sweet" sheetId="117" r:id="rId34"/>
    <sheet name="Roots, RadishTurnip" sheetId="118" r:id="rId35"/>
    <sheet name="Scallions" sheetId="121" r:id="rId36"/>
    <sheet name="Squash, Summer" sheetId="102" r:id="rId37"/>
    <sheet name="Squash, Winter" sheetId="103" r:id="rId38"/>
    <sheet name="Tomatoes" sheetId="85" r:id="rId39"/>
    <sheet name="Watermelon" sheetId="105" r:id="rId40"/>
    <sheet name="You-Pick" sheetId="161" r:id="rId41"/>
  </sheets>
  <definedNames>
    <definedName name="_xlnm._FilterDatabase" localSheetId="5" hidden="1">'BW2-Field Act. Labor &amp; Mach.'!$B$8:$J$8</definedName>
    <definedName name="_xlnm.Print_Area" localSheetId="11">'Beans, Green'!$B$2:$H$59</definedName>
    <definedName name="_xlnm.Print_Area" localSheetId="12">Beets!$B$2:$H$62</definedName>
    <definedName name="_xlnm.Print_Area" localSheetId="13">Broccoli!$B$2:$H$67</definedName>
    <definedName name="_xlnm.Print_Area" localSheetId="14">'Brussels Sprouts'!$B$2:$H$68</definedName>
    <definedName name="_xlnm.Print_Area" localSheetId="2">'Budget Summary'!$E$5:$G$36</definedName>
    <definedName name="_xlnm.Print_Area" localSheetId="4">'BW1-Bed and Row Spacing'!$B$6:$L$37</definedName>
    <definedName name="_xlnm.Print_Area" localSheetId="5">'BW2-Field Act. Labor &amp; Mach.'!$B$6:$L$17</definedName>
    <definedName name="_xlnm.Print_Area" localSheetId="6">'BW3-Variable Input'!$B$6:$I$24</definedName>
    <definedName name="_xlnm.Print_Area" localSheetId="7">'BW4-Transplant Production'!#REF!</definedName>
    <definedName name="_xlnm.Print_Area" localSheetId="10">'BW7-Yield'!$B$7:$D$38</definedName>
    <definedName name="_xlnm.Print_Area" localSheetId="15">Cabbage!$B$2:$H$67</definedName>
    <definedName name="_xlnm.Print_Area" localSheetId="16">Carrots!$B$2:$H$62</definedName>
    <definedName name="_xlnm.Print_Area" localSheetId="17">Cauliflower!$B$2:$H$67</definedName>
    <definedName name="_xlnm.Print_Area" localSheetId="18">'Chard, Swiss'!$B$2:$H$63</definedName>
    <definedName name="_xlnm.Print_Area" localSheetId="19">'Corn, Sweet'!$B$2:$H$59</definedName>
    <definedName name="_xlnm.Print_Area" localSheetId="20">Cucumbers!$B$2:$H$61</definedName>
    <definedName name="_xlnm.Print_Area" localSheetId="21">Eggplant!$B$2:$H$67</definedName>
    <definedName name="_xlnm.Print_Area" localSheetId="22">Garlic!$B$2:$H$57</definedName>
    <definedName name="_xlnm.Print_Area" localSheetId="23">'Greens, KaleCollards'!$B$2:$H$68</definedName>
    <definedName name="_xlnm.Print_Area" localSheetId="24">'Greens, Salad'!$B$2:$H$62</definedName>
    <definedName name="_xlnm.Print_Area" localSheetId="25">'Herbs, Summer Annual'!$B$2:$H$57</definedName>
    <definedName name="_xlnm.Print_Area" localSheetId="26">Kohlrabi!$B$2:$H$61</definedName>
    <definedName name="_xlnm.Print_Area" localSheetId="27">Leeks!$B$2:$H$59</definedName>
    <definedName name="_xlnm.Print_Area" localSheetId="28">'Lettuce, Head'!$B$2:$H$62</definedName>
    <definedName name="_xlnm.Print_Area" localSheetId="29">Muskmelon!$B$2:$H$65</definedName>
    <definedName name="_xlnm.Print_Area" localSheetId="30">'Onions, Bulb'!$B$2:$H$58</definedName>
    <definedName name="_xlnm.Print_Area" localSheetId="31">Peppers!$B$2:$H$64</definedName>
    <definedName name="_xlnm.Print_Area" localSheetId="32">Potatoes!$B$2:$H$60</definedName>
    <definedName name="_xlnm.Print_Area" localSheetId="33">'Potatoes, Sweet'!$B$2:$H$58</definedName>
    <definedName name="_xlnm.Print_Area" localSheetId="34">'Roots, RadishTurnip'!$B$2:$H$62</definedName>
    <definedName name="_xlnm.Print_Area" localSheetId="35">Scallions!$B$2:$H$57</definedName>
    <definedName name="_xlnm.Print_Area" localSheetId="36">'Squash, Summer'!$B$2:$H$61</definedName>
    <definedName name="_xlnm.Print_Area" localSheetId="37">'Squash, Winter'!$B$2:$H$64</definedName>
    <definedName name="_xlnm.Print_Area" localSheetId="0">'Workbook Index'!$B$18:$K$47</definedName>
    <definedName name="_xlnm.Print_Area" localSheetId="38">Tomatoes!$B$2:$H$72</definedName>
    <definedName name="_xlnm.Print_Area" localSheetId="39">Watermelon!$B$2:$H$59</definedName>
    <definedName name="_xlnm.Print_Area" localSheetId="40">'You-Pick'!$B$2:$H$64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78" l="1"/>
  <c r="B12" i="178"/>
  <c r="B13" i="178"/>
  <c r="B14" i="178"/>
  <c r="B15" i="178"/>
  <c r="B16" i="178"/>
  <c r="B17" i="178"/>
  <c r="B18" i="178"/>
  <c r="B19" i="178"/>
  <c r="B20" i="178"/>
  <c r="B21" i="178"/>
  <c r="B22" i="178"/>
  <c r="B23" i="178"/>
  <c r="B24" i="178"/>
  <c r="B25" i="178"/>
  <c r="B26" i="178"/>
  <c r="B27" i="178"/>
  <c r="B28" i="178"/>
  <c r="B29" i="178"/>
  <c r="B30" i="178"/>
  <c r="B31" i="178"/>
  <c r="B32" i="178"/>
  <c r="B33" i="178"/>
  <c r="B34" i="178"/>
  <c r="B35" i="178"/>
  <c r="B36" i="178"/>
  <c r="B37" i="178"/>
  <c r="B10" i="178"/>
  <c r="B9" i="178"/>
  <c r="C43" i="179"/>
  <c r="C44" i="179"/>
  <c r="C45" i="179"/>
  <c r="C46" i="179"/>
  <c r="C47" i="179"/>
  <c r="C48" i="179"/>
  <c r="C49" i="179"/>
  <c r="C50" i="179"/>
  <c r="C52" i="179"/>
  <c r="C54" i="179"/>
  <c r="C57" i="179"/>
  <c r="C58" i="179"/>
  <c r="C60" i="179"/>
  <c r="C62" i="179"/>
  <c r="C14" i="179"/>
  <c r="C15" i="179"/>
  <c r="C16" i="179"/>
  <c r="C17" i="179"/>
  <c r="C18" i="179"/>
  <c r="C20" i="179"/>
  <c r="C21" i="179"/>
  <c r="C23" i="179"/>
  <c r="C24" i="179"/>
  <c r="C25" i="179"/>
  <c r="C26" i="179"/>
  <c r="C27" i="179"/>
  <c r="C28" i="179"/>
  <c r="C29" i="179"/>
  <c r="C31" i="179"/>
  <c r="C32" i="179"/>
  <c r="C33" i="179"/>
  <c r="C34" i="179"/>
  <c r="C35" i="179"/>
  <c r="C36" i="179"/>
  <c r="C37" i="179"/>
  <c r="C39" i="179"/>
  <c r="C11" i="179"/>
  <c r="C12" i="179"/>
  <c r="C10" i="179"/>
  <c r="P95" i="2"/>
  <c r="S95" i="2"/>
  <c r="T95" i="2"/>
  <c r="U95" i="2"/>
  <c r="W95" i="2"/>
  <c r="X95" i="2"/>
  <c r="P103" i="2"/>
  <c r="S103" i="2"/>
  <c r="W103" i="2"/>
  <c r="X103" i="2"/>
  <c r="K9" i="2"/>
  <c r="D12" i="114"/>
  <c r="P94" i="2"/>
  <c r="S94" i="2"/>
  <c r="T94" i="2"/>
  <c r="U94" i="2"/>
  <c r="W94" i="2"/>
  <c r="X94" i="2"/>
  <c r="P101" i="2"/>
  <c r="S101" i="2"/>
  <c r="W101" i="2"/>
  <c r="X101" i="2"/>
  <c r="K10" i="2"/>
  <c r="D13" i="114"/>
  <c r="P106" i="2"/>
  <c r="S106" i="2"/>
  <c r="W106" i="2"/>
  <c r="X106" i="2"/>
  <c r="K13" i="2"/>
  <c r="D15" i="114"/>
  <c r="P108" i="2"/>
  <c r="S108" i="2"/>
  <c r="W108" i="2"/>
  <c r="X108" i="2"/>
  <c r="K12" i="2"/>
  <c r="D16" i="114"/>
  <c r="P105" i="2"/>
  <c r="S105" i="2"/>
  <c r="W105" i="2"/>
  <c r="X105" i="2"/>
  <c r="K14" i="2"/>
  <c r="D17" i="114"/>
  <c r="P121" i="2"/>
  <c r="S121" i="2"/>
  <c r="W121" i="2"/>
  <c r="X121" i="2"/>
  <c r="K15" i="2"/>
  <c r="D18" i="114"/>
  <c r="P120" i="2"/>
  <c r="S120" i="2"/>
  <c r="W120" i="2"/>
  <c r="X120" i="2"/>
  <c r="K16" i="2"/>
  <c r="D20" i="114"/>
  <c r="P122" i="2"/>
  <c r="S122" i="2"/>
  <c r="W122" i="2"/>
  <c r="X122" i="2"/>
  <c r="K20" i="2"/>
  <c r="D23" i="114"/>
  <c r="P96" i="2"/>
  <c r="S96" i="2"/>
  <c r="T96" i="2"/>
  <c r="U96" i="2"/>
  <c r="W96" i="2"/>
  <c r="X96" i="2"/>
  <c r="P119" i="2"/>
  <c r="S119" i="2"/>
  <c r="W119" i="2"/>
  <c r="X119" i="2"/>
  <c r="K31" i="2"/>
  <c r="D28" i="114"/>
  <c r="K32" i="2"/>
  <c r="D32" i="114"/>
  <c r="P124" i="2"/>
  <c r="S124" i="2"/>
  <c r="T124" i="2"/>
  <c r="U124" i="2"/>
  <c r="W124" i="2"/>
  <c r="X124" i="2"/>
  <c r="K28" i="2"/>
  <c r="D34" i="114"/>
  <c r="P125" i="2"/>
  <c r="S125" i="2"/>
  <c r="W125" i="2"/>
  <c r="X125" i="2"/>
  <c r="K29" i="2"/>
  <c r="D36" i="114"/>
  <c r="P132" i="2"/>
  <c r="S132" i="2"/>
  <c r="W132" i="2"/>
  <c r="X132" i="2"/>
  <c r="K37" i="2"/>
  <c r="D37" i="114"/>
  <c r="D39" i="114"/>
  <c r="P104" i="2"/>
  <c r="S104" i="2"/>
  <c r="W104" i="2"/>
  <c r="X104" i="2"/>
  <c r="K66" i="2"/>
  <c r="D50" i="114"/>
  <c r="K65" i="2"/>
  <c r="D51" i="114"/>
  <c r="P107" i="2"/>
  <c r="S107" i="2"/>
  <c r="W107" i="2"/>
  <c r="X107" i="2"/>
  <c r="K67" i="2"/>
  <c r="D52" i="114"/>
  <c r="P102" i="2"/>
  <c r="S102" i="2"/>
  <c r="W102" i="2"/>
  <c r="X102" i="2"/>
  <c r="K69" i="2"/>
  <c r="D53" i="114"/>
  <c r="D55" i="114"/>
  <c r="H63" i="114"/>
  <c r="D12" i="99"/>
  <c r="D13" i="99"/>
  <c r="D17" i="99"/>
  <c r="D18" i="99"/>
  <c r="D20" i="99"/>
  <c r="D21" i="99"/>
  <c r="D22" i="99"/>
  <c r="D24" i="99"/>
  <c r="D27" i="99"/>
  <c r="D32" i="99"/>
  <c r="D36" i="99"/>
  <c r="D38" i="99"/>
  <c r="D40" i="99"/>
  <c r="D41" i="99"/>
  <c r="D53" i="99"/>
  <c r="D54" i="99"/>
  <c r="D55" i="99"/>
  <c r="D56" i="99"/>
  <c r="D58" i="99"/>
  <c r="H66" i="99"/>
  <c r="D12" i="109"/>
  <c r="D13" i="109"/>
  <c r="D17" i="109"/>
  <c r="D18" i="109"/>
  <c r="D20" i="109"/>
  <c r="D21" i="109"/>
  <c r="D22" i="109"/>
  <c r="D24" i="109"/>
  <c r="P123" i="2"/>
  <c r="S123" i="2"/>
  <c r="W123" i="2"/>
  <c r="X123" i="2"/>
  <c r="K21" i="2"/>
  <c r="D27" i="109"/>
  <c r="D33" i="109"/>
  <c r="D37" i="109"/>
  <c r="D39" i="109"/>
  <c r="D41" i="109"/>
  <c r="D44" i="109"/>
  <c r="D46" i="109"/>
  <c r="K62" i="2"/>
  <c r="D57" i="109"/>
  <c r="D58" i="109"/>
  <c r="D59" i="109"/>
  <c r="D60" i="109"/>
  <c r="D61" i="109"/>
  <c r="D63" i="109"/>
  <c r="H71" i="109"/>
  <c r="D12" i="110"/>
  <c r="D13" i="110"/>
  <c r="D17" i="110"/>
  <c r="D18" i="110"/>
  <c r="D20" i="110"/>
  <c r="D21" i="110"/>
  <c r="D22" i="110"/>
  <c r="D23" i="110"/>
  <c r="D25" i="110"/>
  <c r="D28" i="110"/>
  <c r="D34" i="110"/>
  <c r="D38" i="110"/>
  <c r="D40" i="110"/>
  <c r="D42" i="110"/>
  <c r="D45" i="110"/>
  <c r="D48" i="110"/>
  <c r="D58" i="110"/>
  <c r="D59" i="110"/>
  <c r="D60" i="110"/>
  <c r="D61" i="110"/>
  <c r="D62" i="110"/>
  <c r="D64" i="110"/>
  <c r="H72" i="110"/>
  <c r="D12" i="111"/>
  <c r="D13" i="111"/>
  <c r="D17" i="111"/>
  <c r="D18" i="111"/>
  <c r="D20" i="111"/>
  <c r="D21" i="111"/>
  <c r="D22" i="111"/>
  <c r="D23" i="111"/>
  <c r="D25" i="111"/>
  <c r="D28" i="111"/>
  <c r="D34" i="111"/>
  <c r="D38" i="111"/>
  <c r="D40" i="111"/>
  <c r="D42" i="111"/>
  <c r="D45" i="111"/>
  <c r="D47" i="111"/>
  <c r="D57" i="111"/>
  <c r="D58" i="111"/>
  <c r="D59" i="111"/>
  <c r="D60" i="111"/>
  <c r="D61" i="111"/>
  <c r="D63" i="111"/>
  <c r="H71" i="111"/>
  <c r="D12" i="101"/>
  <c r="D13" i="101"/>
  <c r="D17" i="101"/>
  <c r="D18" i="101"/>
  <c r="D20" i="101"/>
  <c r="D21" i="101"/>
  <c r="D22" i="101"/>
  <c r="D24" i="101"/>
  <c r="D27" i="101"/>
  <c r="D32" i="101"/>
  <c r="D36" i="101"/>
  <c r="D38" i="101"/>
  <c r="D41" i="101"/>
  <c r="D42" i="101"/>
  <c r="D53" i="101"/>
  <c r="D54" i="101"/>
  <c r="D55" i="101"/>
  <c r="D56" i="101"/>
  <c r="D58" i="101"/>
  <c r="H66" i="101"/>
  <c r="D12" i="112"/>
  <c r="D13" i="112"/>
  <c r="D17" i="112"/>
  <c r="D18" i="112"/>
  <c r="D20" i="112"/>
  <c r="D21" i="112"/>
  <c r="D22" i="112"/>
  <c r="D23" i="112"/>
  <c r="D25" i="112"/>
  <c r="D28" i="112"/>
  <c r="D34" i="112"/>
  <c r="D38" i="112"/>
  <c r="D40" i="112"/>
  <c r="D42" i="112"/>
  <c r="D45" i="112"/>
  <c r="D47" i="112"/>
  <c r="D57" i="112"/>
  <c r="D58" i="112"/>
  <c r="D59" i="112"/>
  <c r="D60" i="112"/>
  <c r="D61" i="112"/>
  <c r="D63" i="112"/>
  <c r="H71" i="112"/>
  <c r="D12" i="123"/>
  <c r="D13" i="123"/>
  <c r="D17" i="123"/>
  <c r="D18" i="123"/>
  <c r="D20" i="123"/>
  <c r="D21" i="123"/>
  <c r="D22" i="123"/>
  <c r="D24" i="123"/>
  <c r="D27" i="123"/>
  <c r="D32" i="123"/>
  <c r="D36" i="123"/>
  <c r="D38" i="123"/>
  <c r="D40" i="123"/>
  <c r="D41" i="123"/>
  <c r="D53" i="123"/>
  <c r="D54" i="123"/>
  <c r="D55" i="123"/>
  <c r="D56" i="123"/>
  <c r="D57" i="123"/>
  <c r="D59" i="123"/>
  <c r="H67" i="123"/>
  <c r="D12" i="108"/>
  <c r="D13" i="108"/>
  <c r="D15" i="108"/>
  <c r="D16" i="108"/>
  <c r="D17" i="108"/>
  <c r="D18" i="108"/>
  <c r="D20" i="108"/>
  <c r="D23" i="108"/>
  <c r="D28" i="108"/>
  <c r="D32" i="108"/>
  <c r="D34" i="108"/>
  <c r="D36" i="108"/>
  <c r="D37" i="108"/>
  <c r="D39" i="108"/>
  <c r="D49" i="108"/>
  <c r="D50" i="108"/>
  <c r="D51" i="108"/>
  <c r="D52" i="108"/>
  <c r="D53" i="108"/>
  <c r="D55" i="108"/>
  <c r="H63" i="108"/>
  <c r="D12" i="107"/>
  <c r="D13" i="107"/>
  <c r="D15" i="107"/>
  <c r="D16" i="107"/>
  <c r="D17" i="107"/>
  <c r="P111" i="2"/>
  <c r="S111" i="2"/>
  <c r="W111" i="2"/>
  <c r="X111" i="2"/>
  <c r="K17" i="2"/>
  <c r="D18" i="107"/>
  <c r="P112" i="2"/>
  <c r="S112" i="2"/>
  <c r="W112" i="2"/>
  <c r="X112" i="2"/>
  <c r="K22" i="2"/>
  <c r="D24" i="107"/>
  <c r="D29" i="107"/>
  <c r="P114" i="2"/>
  <c r="T114" i="2"/>
  <c r="U114" i="2"/>
  <c r="W114" i="2"/>
  <c r="X114" i="2"/>
  <c r="K30" i="2"/>
  <c r="D33" i="107"/>
  <c r="K45" i="2"/>
  <c r="D34" i="107"/>
  <c r="K46" i="2"/>
  <c r="D36" i="107"/>
  <c r="D38" i="107"/>
  <c r="D40" i="107"/>
  <c r="D50" i="107"/>
  <c r="P115" i="2"/>
  <c r="S115" i="2"/>
  <c r="W115" i="2"/>
  <c r="X115" i="2"/>
  <c r="K63" i="2"/>
  <c r="D51" i="107"/>
  <c r="K64" i="2"/>
  <c r="D52" i="107"/>
  <c r="D53" i="107"/>
  <c r="D54" i="107"/>
  <c r="D55" i="107"/>
  <c r="D57" i="107"/>
  <c r="H65" i="107"/>
  <c r="D12" i="104"/>
  <c r="D13" i="104"/>
  <c r="D15" i="104"/>
  <c r="D16" i="104"/>
  <c r="D17" i="104"/>
  <c r="D23" i="104"/>
  <c r="K25" i="2"/>
  <c r="D26" i="104"/>
  <c r="D30" i="104"/>
  <c r="D34" i="104"/>
  <c r="D35" i="104"/>
  <c r="D37" i="104"/>
  <c r="D39" i="104"/>
  <c r="P116" i="2"/>
  <c r="T116" i="2"/>
  <c r="U116" i="2"/>
  <c r="W116" i="2"/>
  <c r="X116" i="2"/>
  <c r="K33" i="2"/>
  <c r="D41" i="104"/>
  <c r="P133" i="2"/>
  <c r="S133" i="2"/>
  <c r="W133" i="2"/>
  <c r="X133" i="2"/>
  <c r="K40" i="2"/>
  <c r="D42" i="104"/>
  <c r="D46" i="104"/>
  <c r="D56" i="104"/>
  <c r="D57" i="104"/>
  <c r="D58" i="104"/>
  <c r="D59" i="104"/>
  <c r="D60" i="104"/>
  <c r="D61" i="104"/>
  <c r="D63" i="104"/>
  <c r="H71" i="104"/>
  <c r="D12" i="116"/>
  <c r="D13" i="116"/>
  <c r="D15" i="116"/>
  <c r="K11" i="2"/>
  <c r="D16" i="116"/>
  <c r="D17" i="116"/>
  <c r="K23" i="2"/>
  <c r="D23" i="116"/>
  <c r="D25" i="116"/>
  <c r="D29" i="116"/>
  <c r="D33" i="116"/>
  <c r="D35" i="116"/>
  <c r="D37" i="116"/>
  <c r="D38" i="116"/>
  <c r="D48" i="116"/>
  <c r="D49" i="116"/>
  <c r="D50" i="116"/>
  <c r="D51" i="116"/>
  <c r="D53" i="116"/>
  <c r="H61" i="116"/>
  <c r="D12" i="125"/>
  <c r="D13" i="125"/>
  <c r="D17" i="125"/>
  <c r="D18" i="125"/>
  <c r="D20" i="125"/>
  <c r="D21" i="125"/>
  <c r="D22" i="125"/>
  <c r="D24" i="125"/>
  <c r="D27" i="125"/>
  <c r="D33" i="125"/>
  <c r="D37" i="125"/>
  <c r="D39" i="125"/>
  <c r="D41" i="125"/>
  <c r="D44" i="125"/>
  <c r="D46" i="125"/>
  <c r="D58" i="125"/>
  <c r="D59" i="125"/>
  <c r="D60" i="125"/>
  <c r="D61" i="125"/>
  <c r="D62" i="125"/>
  <c r="D64" i="125"/>
  <c r="H72" i="125"/>
  <c r="D12" i="124"/>
  <c r="D13" i="124"/>
  <c r="D17" i="124"/>
  <c r="D18" i="124"/>
  <c r="D20" i="124"/>
  <c r="D21" i="124"/>
  <c r="D22" i="124"/>
  <c r="D24" i="124"/>
  <c r="D27" i="124"/>
  <c r="D32" i="124"/>
  <c r="D36" i="124"/>
  <c r="D38" i="124"/>
  <c r="D40" i="124"/>
  <c r="D41" i="124"/>
  <c r="D53" i="124"/>
  <c r="D54" i="124"/>
  <c r="D55" i="124"/>
  <c r="D56" i="124"/>
  <c r="D58" i="124"/>
  <c r="H66" i="124"/>
  <c r="D12" i="127"/>
  <c r="D13" i="127"/>
  <c r="D15" i="127"/>
  <c r="D16" i="127"/>
  <c r="D17" i="127"/>
  <c r="D19" i="127"/>
  <c r="D22" i="127"/>
  <c r="D27" i="127"/>
  <c r="D31" i="127"/>
  <c r="D33" i="127"/>
  <c r="D35" i="127"/>
  <c r="D36" i="127"/>
  <c r="D47" i="127"/>
  <c r="D48" i="127"/>
  <c r="D49" i="127"/>
  <c r="D50" i="127"/>
  <c r="D51" i="127"/>
  <c r="D53" i="127"/>
  <c r="H61" i="127"/>
  <c r="D12" i="113"/>
  <c r="D13" i="113"/>
  <c r="D17" i="113"/>
  <c r="D18" i="113"/>
  <c r="D20" i="113"/>
  <c r="D21" i="113"/>
  <c r="D22" i="113"/>
  <c r="D24" i="113"/>
  <c r="D27" i="113"/>
  <c r="D33" i="113"/>
  <c r="D37" i="113"/>
  <c r="D39" i="113"/>
  <c r="D41" i="113"/>
  <c r="D42" i="113"/>
  <c r="D52" i="113"/>
  <c r="D53" i="113"/>
  <c r="D54" i="113"/>
  <c r="D55" i="113"/>
  <c r="D57" i="113"/>
  <c r="H65" i="113"/>
  <c r="D12" i="120"/>
  <c r="D13" i="120"/>
  <c r="D15" i="120"/>
  <c r="D16" i="120"/>
  <c r="D17" i="120"/>
  <c r="D19" i="120"/>
  <c r="D22" i="120"/>
  <c r="D28" i="120"/>
  <c r="D32" i="120"/>
  <c r="D34" i="120"/>
  <c r="D36" i="120"/>
  <c r="D37" i="120"/>
  <c r="D39" i="120"/>
  <c r="D50" i="120"/>
  <c r="D51" i="120"/>
  <c r="D52" i="120"/>
  <c r="D53" i="120"/>
  <c r="D55" i="120"/>
  <c r="H63" i="120"/>
  <c r="D12" i="126"/>
  <c r="D13" i="126"/>
  <c r="D17" i="126"/>
  <c r="D18" i="126"/>
  <c r="D20" i="126"/>
  <c r="D21" i="126"/>
  <c r="D22" i="126"/>
  <c r="D24" i="126"/>
  <c r="D27" i="126"/>
  <c r="D33" i="126"/>
  <c r="D37" i="126"/>
  <c r="D39" i="126"/>
  <c r="D41" i="126"/>
  <c r="D42" i="126"/>
  <c r="D53" i="126"/>
  <c r="D54" i="126"/>
  <c r="D55" i="126"/>
  <c r="D56" i="126"/>
  <c r="D58" i="126"/>
  <c r="H66" i="126"/>
  <c r="D12" i="106"/>
  <c r="D13" i="106"/>
  <c r="D15" i="106"/>
  <c r="D16" i="106"/>
  <c r="D17" i="106"/>
  <c r="D18" i="106"/>
  <c r="D24" i="106"/>
  <c r="D29" i="106"/>
  <c r="D33" i="106"/>
  <c r="D34" i="106"/>
  <c r="D37" i="106"/>
  <c r="D39" i="106"/>
  <c r="D41" i="106"/>
  <c r="D44" i="106"/>
  <c r="D54" i="106"/>
  <c r="D55" i="106"/>
  <c r="D56" i="106"/>
  <c r="D57" i="106"/>
  <c r="D58" i="106"/>
  <c r="D59" i="106"/>
  <c r="D61" i="106"/>
  <c r="H69" i="106"/>
  <c r="D12" i="119"/>
  <c r="D13" i="119"/>
  <c r="D15" i="119"/>
  <c r="D16" i="119"/>
  <c r="D17" i="119"/>
  <c r="D19" i="119"/>
  <c r="D22" i="119"/>
  <c r="D28" i="119"/>
  <c r="D32" i="119"/>
  <c r="D34" i="119"/>
  <c r="D36" i="119"/>
  <c r="D37" i="119"/>
  <c r="D39" i="119"/>
  <c r="D49" i="119"/>
  <c r="D50" i="119"/>
  <c r="D51" i="119"/>
  <c r="D52" i="119"/>
  <c r="D54" i="119"/>
  <c r="H62" i="119"/>
  <c r="D12" i="96"/>
  <c r="D13" i="96"/>
  <c r="D15" i="96"/>
  <c r="D16" i="96"/>
  <c r="D17" i="96"/>
  <c r="D23" i="96"/>
  <c r="D26" i="96"/>
  <c r="D30" i="96"/>
  <c r="D34" i="96"/>
  <c r="D36" i="96"/>
  <c r="D38" i="96"/>
  <c r="D39" i="96"/>
  <c r="D43" i="96"/>
  <c r="D53" i="96"/>
  <c r="D54" i="96"/>
  <c r="D55" i="96"/>
  <c r="D56" i="96"/>
  <c r="D57" i="96"/>
  <c r="D58" i="96"/>
  <c r="D60" i="96"/>
  <c r="H68" i="96"/>
  <c r="D12" i="115"/>
  <c r="D13" i="115"/>
  <c r="D15" i="115"/>
  <c r="D16" i="115"/>
  <c r="P128" i="2"/>
  <c r="S128" i="2"/>
  <c r="W128" i="2"/>
  <c r="X128" i="2"/>
  <c r="K24" i="2"/>
  <c r="D19" i="115"/>
  <c r="D25" i="115"/>
  <c r="K48" i="2"/>
  <c r="D29" i="115"/>
  <c r="D30" i="115"/>
  <c r="D33" i="115"/>
  <c r="D35" i="115"/>
  <c r="D39" i="115"/>
  <c r="D50" i="115"/>
  <c r="D51" i="115"/>
  <c r="D52" i="115"/>
  <c r="D53" i="115"/>
  <c r="D54" i="115"/>
  <c r="D56" i="115"/>
  <c r="H64" i="115"/>
  <c r="D12" i="117"/>
  <c r="D13" i="117"/>
  <c r="D15" i="117"/>
  <c r="D16" i="117"/>
  <c r="D17" i="117"/>
  <c r="D18" i="117"/>
  <c r="D24" i="117"/>
  <c r="D28" i="117"/>
  <c r="D32" i="117"/>
  <c r="D34" i="117"/>
  <c r="D37" i="117"/>
  <c r="D48" i="117"/>
  <c r="D49" i="117"/>
  <c r="D50" i="117"/>
  <c r="D51" i="117"/>
  <c r="D52" i="117"/>
  <c r="D54" i="117"/>
  <c r="H62" i="117"/>
  <c r="D12" i="118"/>
  <c r="D13" i="118"/>
  <c r="D17" i="118"/>
  <c r="D18" i="118"/>
  <c r="D20" i="118"/>
  <c r="D21" i="118"/>
  <c r="D22" i="118"/>
  <c r="D24" i="118"/>
  <c r="D27" i="118"/>
  <c r="D32" i="118"/>
  <c r="D36" i="118"/>
  <c r="D40" i="118"/>
  <c r="D41" i="118"/>
  <c r="D42" i="118"/>
  <c r="D53" i="118"/>
  <c r="D54" i="118"/>
  <c r="D55" i="118"/>
  <c r="D56" i="118"/>
  <c r="D58" i="118"/>
  <c r="H66" i="118"/>
  <c r="D12" i="121"/>
  <c r="D13" i="121"/>
  <c r="D15" i="121"/>
  <c r="D16" i="121"/>
  <c r="D17" i="121"/>
  <c r="D19" i="121"/>
  <c r="D22" i="121"/>
  <c r="D28" i="121"/>
  <c r="D32" i="121"/>
  <c r="D34" i="121"/>
  <c r="D36" i="121"/>
  <c r="D37" i="121"/>
  <c r="D48" i="121"/>
  <c r="D49" i="121"/>
  <c r="D50" i="121"/>
  <c r="D51" i="121"/>
  <c r="D53" i="121"/>
  <c r="H61" i="121"/>
  <c r="D12" i="102"/>
  <c r="D13" i="102"/>
  <c r="D15" i="102"/>
  <c r="D16" i="102"/>
  <c r="D17" i="102"/>
  <c r="D18" i="102"/>
  <c r="D24" i="102"/>
  <c r="D29" i="102"/>
  <c r="D33" i="102"/>
  <c r="D34" i="102"/>
  <c r="D36" i="102"/>
  <c r="D38" i="102"/>
  <c r="D40" i="102"/>
  <c r="D50" i="102"/>
  <c r="D51" i="102"/>
  <c r="D52" i="102"/>
  <c r="D53" i="102"/>
  <c r="D54" i="102"/>
  <c r="D55" i="102"/>
  <c r="D57" i="102"/>
  <c r="H65" i="102"/>
  <c r="D12" i="103"/>
  <c r="D13" i="103"/>
  <c r="D15" i="103"/>
  <c r="D16" i="103"/>
  <c r="D17" i="103"/>
  <c r="D18" i="103"/>
  <c r="D24" i="103"/>
  <c r="D29" i="103"/>
  <c r="D33" i="103"/>
  <c r="D34" i="103"/>
  <c r="D36" i="103"/>
  <c r="D38" i="103"/>
  <c r="D40" i="103"/>
  <c r="D43" i="103"/>
  <c r="D53" i="103"/>
  <c r="D54" i="103"/>
  <c r="D55" i="103"/>
  <c r="D56" i="103"/>
  <c r="D57" i="103"/>
  <c r="D58" i="103"/>
  <c r="D60" i="103"/>
  <c r="H68" i="103"/>
  <c r="D12" i="85"/>
  <c r="D13" i="85"/>
  <c r="D15" i="85"/>
  <c r="D16" i="85"/>
  <c r="D17" i="85"/>
  <c r="D23" i="85"/>
  <c r="D26" i="85"/>
  <c r="D30" i="85"/>
  <c r="D34" i="85"/>
  <c r="K49" i="2"/>
  <c r="D35" i="85"/>
  <c r="D40" i="85"/>
  <c r="D42" i="85"/>
  <c r="D44" i="85"/>
  <c r="D48" i="85"/>
  <c r="K72" i="2"/>
  <c r="D60" i="85"/>
  <c r="D61" i="85"/>
  <c r="D62" i="85"/>
  <c r="D63" i="85"/>
  <c r="D64" i="85"/>
  <c r="D65" i="85"/>
  <c r="D66" i="85"/>
  <c r="D68" i="85"/>
  <c r="H76" i="85"/>
  <c r="D12" i="105"/>
  <c r="D13" i="105"/>
  <c r="D15" i="105"/>
  <c r="D16" i="105"/>
  <c r="D17" i="105"/>
  <c r="D18" i="105"/>
  <c r="D24" i="105"/>
  <c r="D29" i="105"/>
  <c r="D33" i="105"/>
  <c r="D36" i="105"/>
  <c r="D38" i="105"/>
  <c r="D48" i="105"/>
  <c r="D49" i="105"/>
  <c r="D50" i="105"/>
  <c r="D51" i="105"/>
  <c r="D52" i="105"/>
  <c r="D53" i="105"/>
  <c r="D55" i="105"/>
  <c r="H63" i="105"/>
  <c r="D12" i="161"/>
  <c r="D13" i="161"/>
  <c r="D15" i="161"/>
  <c r="D16" i="161"/>
  <c r="D17" i="161"/>
  <c r="D23" i="161"/>
  <c r="D26" i="161"/>
  <c r="D30" i="161"/>
  <c r="D34" i="161"/>
  <c r="D37" i="161"/>
  <c r="D42" i="161"/>
  <c r="D43" i="161"/>
  <c r="D52" i="161"/>
  <c r="D53" i="161"/>
  <c r="D54" i="161"/>
  <c r="D55" i="161"/>
  <c r="D56" i="161"/>
  <c r="D57" i="161"/>
  <c r="D58" i="161"/>
  <c r="D60" i="161"/>
  <c r="H68" i="161"/>
  <c r="P138" i="2"/>
  <c r="S138" i="2"/>
  <c r="W138" i="2"/>
  <c r="X138" i="2"/>
  <c r="K58" i="2"/>
  <c r="D43" i="114"/>
  <c r="D46" i="114"/>
  <c r="H67" i="114"/>
  <c r="P136" i="2"/>
  <c r="S136" i="2"/>
  <c r="W136" i="2"/>
  <c r="X136" i="2"/>
  <c r="K54" i="2"/>
  <c r="D45" i="99"/>
  <c r="D49" i="99"/>
  <c r="H70" i="99"/>
  <c r="P137" i="2"/>
  <c r="S137" i="2"/>
  <c r="W137" i="2"/>
  <c r="X137" i="2"/>
  <c r="K55" i="2"/>
  <c r="D50" i="109"/>
  <c r="D53" i="109"/>
  <c r="H75" i="109"/>
  <c r="D52" i="110"/>
  <c r="D54" i="110"/>
  <c r="H76" i="110"/>
  <c r="D51" i="111"/>
  <c r="D53" i="111"/>
  <c r="H75" i="111"/>
  <c r="K56" i="2"/>
  <c r="D46" i="101"/>
  <c r="D49" i="101"/>
  <c r="H70" i="101"/>
  <c r="D51" i="112"/>
  <c r="D53" i="112"/>
  <c r="H75" i="112"/>
  <c r="D45" i="123"/>
  <c r="D49" i="123"/>
  <c r="H71" i="123"/>
  <c r="D43" i="108"/>
  <c r="D45" i="108"/>
  <c r="H67" i="108"/>
  <c r="D44" i="107"/>
  <c r="D46" i="107"/>
  <c r="H69" i="107"/>
  <c r="D50" i="104"/>
  <c r="D52" i="104"/>
  <c r="H75" i="104"/>
  <c r="K57" i="2"/>
  <c r="D42" i="116"/>
  <c r="D44" i="116"/>
  <c r="H65" i="116"/>
  <c r="D50" i="125"/>
  <c r="D54" i="125"/>
  <c r="H76" i="125"/>
  <c r="D45" i="124"/>
  <c r="D49" i="124"/>
  <c r="H70" i="124"/>
  <c r="D40" i="127"/>
  <c r="D43" i="127"/>
  <c r="H65" i="127"/>
  <c r="D46" i="113"/>
  <c r="D48" i="113"/>
  <c r="H69" i="113"/>
  <c r="D43" i="120"/>
  <c r="D46" i="120"/>
  <c r="H67" i="120"/>
  <c r="D46" i="126"/>
  <c r="D49" i="126"/>
  <c r="H70" i="126"/>
  <c r="D48" i="106"/>
  <c r="D50" i="106"/>
  <c r="H73" i="106"/>
  <c r="D43" i="119"/>
  <c r="D45" i="119"/>
  <c r="H66" i="119"/>
  <c r="D47" i="96"/>
  <c r="D49" i="96"/>
  <c r="H72" i="96"/>
  <c r="K59" i="2"/>
  <c r="D43" i="115"/>
  <c r="D46" i="115"/>
  <c r="H68" i="115"/>
  <c r="D41" i="117"/>
  <c r="D44" i="117"/>
  <c r="H66" i="117"/>
  <c r="D46" i="118"/>
  <c r="D49" i="118"/>
  <c r="H70" i="118"/>
  <c r="D41" i="121"/>
  <c r="D44" i="121"/>
  <c r="H65" i="121"/>
  <c r="D44" i="102"/>
  <c r="D46" i="102"/>
  <c r="H69" i="102"/>
  <c r="D47" i="103"/>
  <c r="D49" i="103"/>
  <c r="H72" i="103"/>
  <c r="D52" i="85"/>
  <c r="D55" i="85"/>
  <c r="H80" i="85"/>
  <c r="D42" i="105"/>
  <c r="D44" i="105"/>
  <c r="H67" i="105"/>
  <c r="P146" i="2"/>
  <c r="W146" i="2"/>
  <c r="P154" i="2"/>
  <c r="W154" i="2"/>
  <c r="L9" i="2"/>
  <c r="E12" i="114"/>
  <c r="P145" i="2"/>
  <c r="W145" i="2"/>
  <c r="P152" i="2"/>
  <c r="W152" i="2"/>
  <c r="L10" i="2"/>
  <c r="E13" i="114"/>
  <c r="P157" i="2"/>
  <c r="W157" i="2"/>
  <c r="L13" i="2"/>
  <c r="E15" i="114"/>
  <c r="P159" i="2"/>
  <c r="W159" i="2"/>
  <c r="L12" i="2"/>
  <c r="E16" i="114"/>
  <c r="P156" i="2"/>
  <c r="W156" i="2"/>
  <c r="L14" i="2"/>
  <c r="E17" i="114"/>
  <c r="P172" i="2"/>
  <c r="W172" i="2"/>
  <c r="L15" i="2"/>
  <c r="E18" i="114"/>
  <c r="P171" i="2"/>
  <c r="W171" i="2"/>
  <c r="L16" i="2"/>
  <c r="E20" i="114"/>
  <c r="P173" i="2"/>
  <c r="W173" i="2"/>
  <c r="L20" i="2"/>
  <c r="E23" i="114"/>
  <c r="P147" i="2"/>
  <c r="W147" i="2"/>
  <c r="P170" i="2"/>
  <c r="W170" i="2"/>
  <c r="L31" i="2"/>
  <c r="E28" i="114"/>
  <c r="L32" i="2"/>
  <c r="E32" i="114"/>
  <c r="P175" i="2"/>
  <c r="W175" i="2"/>
  <c r="L28" i="2"/>
  <c r="E34" i="114"/>
  <c r="P176" i="2"/>
  <c r="W176" i="2"/>
  <c r="L29" i="2"/>
  <c r="E36" i="114"/>
  <c r="P183" i="2"/>
  <c r="W183" i="2"/>
  <c r="L37" i="2"/>
  <c r="E37" i="114"/>
  <c r="E39" i="114"/>
  <c r="P155" i="2"/>
  <c r="W155" i="2"/>
  <c r="L66" i="2"/>
  <c r="E50" i="114"/>
  <c r="L65" i="2"/>
  <c r="E51" i="114"/>
  <c r="P158" i="2"/>
  <c r="W158" i="2"/>
  <c r="L67" i="2"/>
  <c r="E52" i="114"/>
  <c r="P153" i="2"/>
  <c r="W153" i="2"/>
  <c r="L69" i="2"/>
  <c r="E53" i="114"/>
  <c r="E55" i="114"/>
  <c r="H71" i="114"/>
  <c r="E12" i="99"/>
  <c r="E13" i="99"/>
  <c r="E17" i="99"/>
  <c r="E18" i="99"/>
  <c r="E20" i="99"/>
  <c r="E21" i="99"/>
  <c r="E22" i="99"/>
  <c r="E24" i="99"/>
  <c r="E27" i="99"/>
  <c r="E32" i="99"/>
  <c r="E36" i="99"/>
  <c r="E38" i="99"/>
  <c r="E40" i="99"/>
  <c r="E41" i="99"/>
  <c r="E53" i="99"/>
  <c r="E54" i="99"/>
  <c r="E55" i="99"/>
  <c r="E56" i="99"/>
  <c r="E58" i="99"/>
  <c r="H74" i="99"/>
  <c r="E12" i="109"/>
  <c r="E13" i="109"/>
  <c r="E17" i="109"/>
  <c r="E18" i="109"/>
  <c r="E20" i="109"/>
  <c r="E21" i="109"/>
  <c r="E22" i="109"/>
  <c r="E24" i="109"/>
  <c r="P174" i="2"/>
  <c r="W174" i="2"/>
  <c r="L21" i="2"/>
  <c r="E27" i="109"/>
  <c r="E33" i="109"/>
  <c r="E37" i="109"/>
  <c r="E39" i="109"/>
  <c r="E41" i="109"/>
  <c r="E44" i="109"/>
  <c r="E46" i="109"/>
  <c r="L62" i="2"/>
  <c r="E57" i="109"/>
  <c r="E58" i="109"/>
  <c r="E59" i="109"/>
  <c r="E60" i="109"/>
  <c r="E61" i="109"/>
  <c r="E63" i="109"/>
  <c r="H79" i="109"/>
  <c r="E12" i="110"/>
  <c r="E13" i="110"/>
  <c r="E17" i="110"/>
  <c r="E18" i="110"/>
  <c r="E20" i="110"/>
  <c r="E21" i="110"/>
  <c r="E22" i="110"/>
  <c r="E23" i="110"/>
  <c r="E25" i="110"/>
  <c r="E28" i="110"/>
  <c r="E34" i="110"/>
  <c r="E38" i="110"/>
  <c r="E40" i="110"/>
  <c r="E42" i="110"/>
  <c r="E45" i="110"/>
  <c r="E48" i="110"/>
  <c r="E58" i="110"/>
  <c r="E59" i="110"/>
  <c r="E60" i="110"/>
  <c r="E61" i="110"/>
  <c r="E62" i="110"/>
  <c r="E64" i="110"/>
  <c r="H80" i="110"/>
  <c r="E12" i="111"/>
  <c r="E13" i="111"/>
  <c r="E17" i="111"/>
  <c r="E18" i="111"/>
  <c r="E20" i="111"/>
  <c r="E21" i="111"/>
  <c r="E22" i="111"/>
  <c r="E23" i="111"/>
  <c r="E25" i="111"/>
  <c r="E28" i="111"/>
  <c r="E34" i="111"/>
  <c r="E38" i="111"/>
  <c r="E40" i="111"/>
  <c r="E42" i="111"/>
  <c r="E45" i="111"/>
  <c r="E47" i="111"/>
  <c r="E57" i="111"/>
  <c r="E58" i="111"/>
  <c r="E59" i="111"/>
  <c r="E60" i="111"/>
  <c r="E61" i="111"/>
  <c r="E63" i="111"/>
  <c r="H79" i="111"/>
  <c r="E12" i="101"/>
  <c r="E13" i="101"/>
  <c r="E17" i="101"/>
  <c r="E18" i="101"/>
  <c r="E20" i="101"/>
  <c r="E21" i="101"/>
  <c r="E22" i="101"/>
  <c r="E24" i="101"/>
  <c r="E27" i="101"/>
  <c r="E32" i="101"/>
  <c r="E36" i="101"/>
  <c r="E38" i="101"/>
  <c r="E41" i="101"/>
  <c r="E42" i="101"/>
  <c r="E53" i="101"/>
  <c r="E54" i="101"/>
  <c r="E55" i="101"/>
  <c r="E56" i="101"/>
  <c r="E58" i="101"/>
  <c r="H74" i="101"/>
  <c r="E12" i="112"/>
  <c r="E13" i="112"/>
  <c r="E17" i="112"/>
  <c r="E18" i="112"/>
  <c r="E20" i="112"/>
  <c r="E21" i="112"/>
  <c r="E22" i="112"/>
  <c r="E23" i="112"/>
  <c r="E25" i="112"/>
  <c r="E28" i="112"/>
  <c r="E34" i="112"/>
  <c r="E38" i="112"/>
  <c r="E40" i="112"/>
  <c r="E42" i="112"/>
  <c r="E45" i="112"/>
  <c r="E47" i="112"/>
  <c r="E57" i="112"/>
  <c r="E58" i="112"/>
  <c r="E59" i="112"/>
  <c r="E60" i="112"/>
  <c r="E61" i="112"/>
  <c r="E63" i="112"/>
  <c r="H79" i="112"/>
  <c r="E12" i="123"/>
  <c r="E13" i="123"/>
  <c r="E17" i="123"/>
  <c r="E18" i="123"/>
  <c r="E20" i="123"/>
  <c r="E21" i="123"/>
  <c r="E22" i="123"/>
  <c r="E24" i="123"/>
  <c r="E27" i="123"/>
  <c r="E32" i="123"/>
  <c r="E36" i="123"/>
  <c r="E38" i="123"/>
  <c r="E40" i="123"/>
  <c r="E41" i="123"/>
  <c r="E53" i="123"/>
  <c r="E54" i="123"/>
  <c r="E55" i="123"/>
  <c r="E56" i="123"/>
  <c r="E57" i="123"/>
  <c r="E59" i="123"/>
  <c r="H75" i="123"/>
  <c r="E12" i="108"/>
  <c r="E13" i="108"/>
  <c r="E15" i="108"/>
  <c r="E16" i="108"/>
  <c r="E17" i="108"/>
  <c r="E18" i="108"/>
  <c r="E20" i="108"/>
  <c r="E23" i="108"/>
  <c r="E28" i="108"/>
  <c r="E32" i="108"/>
  <c r="E34" i="108"/>
  <c r="E36" i="108"/>
  <c r="E37" i="108"/>
  <c r="E39" i="108"/>
  <c r="E49" i="108"/>
  <c r="E50" i="108"/>
  <c r="E51" i="108"/>
  <c r="E52" i="108"/>
  <c r="E53" i="108"/>
  <c r="E55" i="108"/>
  <c r="H71" i="108"/>
  <c r="E12" i="107"/>
  <c r="E13" i="107"/>
  <c r="E15" i="107"/>
  <c r="E16" i="107"/>
  <c r="E17" i="107"/>
  <c r="P162" i="2"/>
  <c r="W162" i="2"/>
  <c r="L17" i="2"/>
  <c r="E18" i="107"/>
  <c r="P163" i="2"/>
  <c r="W163" i="2"/>
  <c r="L22" i="2"/>
  <c r="E24" i="107"/>
  <c r="E29" i="107"/>
  <c r="P165" i="2"/>
  <c r="W165" i="2"/>
  <c r="L30" i="2"/>
  <c r="E33" i="107"/>
  <c r="L45" i="2"/>
  <c r="E34" i="107"/>
  <c r="L46" i="2"/>
  <c r="E36" i="107"/>
  <c r="E38" i="107"/>
  <c r="E40" i="107"/>
  <c r="E50" i="107"/>
  <c r="P166" i="2"/>
  <c r="W166" i="2"/>
  <c r="L63" i="2"/>
  <c r="E51" i="107"/>
  <c r="L64" i="2"/>
  <c r="E52" i="107"/>
  <c r="E53" i="107"/>
  <c r="E54" i="107"/>
  <c r="E55" i="107"/>
  <c r="E57" i="107"/>
  <c r="H73" i="107"/>
  <c r="E12" i="104"/>
  <c r="E13" i="104"/>
  <c r="E15" i="104"/>
  <c r="E16" i="104"/>
  <c r="E17" i="104"/>
  <c r="E23" i="104"/>
  <c r="L25" i="2"/>
  <c r="E26" i="104"/>
  <c r="E30" i="104"/>
  <c r="E34" i="104"/>
  <c r="E35" i="104"/>
  <c r="E37" i="104"/>
  <c r="E39" i="104"/>
  <c r="P167" i="2"/>
  <c r="W167" i="2"/>
  <c r="L33" i="2"/>
  <c r="E41" i="104"/>
  <c r="P184" i="2"/>
  <c r="W184" i="2"/>
  <c r="L40" i="2"/>
  <c r="E42" i="104"/>
  <c r="E46" i="104"/>
  <c r="E56" i="104"/>
  <c r="E57" i="104"/>
  <c r="E58" i="104"/>
  <c r="E59" i="104"/>
  <c r="E60" i="104"/>
  <c r="E61" i="104"/>
  <c r="E63" i="104"/>
  <c r="H79" i="104"/>
  <c r="E12" i="116"/>
  <c r="E13" i="116"/>
  <c r="E15" i="116"/>
  <c r="L11" i="2"/>
  <c r="E16" i="116"/>
  <c r="E17" i="116"/>
  <c r="L23" i="2"/>
  <c r="E23" i="116"/>
  <c r="E25" i="116"/>
  <c r="E29" i="116"/>
  <c r="E33" i="116"/>
  <c r="E35" i="116"/>
  <c r="E37" i="116"/>
  <c r="E38" i="116"/>
  <c r="E48" i="116"/>
  <c r="E49" i="116"/>
  <c r="E50" i="116"/>
  <c r="E51" i="116"/>
  <c r="E53" i="116"/>
  <c r="H69" i="116"/>
  <c r="E12" i="125"/>
  <c r="E13" i="125"/>
  <c r="E17" i="125"/>
  <c r="E18" i="125"/>
  <c r="E20" i="125"/>
  <c r="E21" i="125"/>
  <c r="E22" i="125"/>
  <c r="E24" i="125"/>
  <c r="E27" i="125"/>
  <c r="E33" i="125"/>
  <c r="E37" i="125"/>
  <c r="E39" i="125"/>
  <c r="E41" i="125"/>
  <c r="E44" i="125"/>
  <c r="E46" i="125"/>
  <c r="E58" i="125"/>
  <c r="E59" i="125"/>
  <c r="E60" i="125"/>
  <c r="E61" i="125"/>
  <c r="E62" i="125"/>
  <c r="E64" i="125"/>
  <c r="H80" i="125"/>
  <c r="E12" i="124"/>
  <c r="E13" i="124"/>
  <c r="E17" i="124"/>
  <c r="E18" i="124"/>
  <c r="E20" i="124"/>
  <c r="E21" i="124"/>
  <c r="E22" i="124"/>
  <c r="E24" i="124"/>
  <c r="E27" i="124"/>
  <c r="E32" i="124"/>
  <c r="E36" i="124"/>
  <c r="E38" i="124"/>
  <c r="E40" i="124"/>
  <c r="E41" i="124"/>
  <c r="E53" i="124"/>
  <c r="E54" i="124"/>
  <c r="E55" i="124"/>
  <c r="E56" i="124"/>
  <c r="E58" i="124"/>
  <c r="H74" i="124"/>
  <c r="E12" i="127"/>
  <c r="E13" i="127"/>
  <c r="E15" i="127"/>
  <c r="E16" i="127"/>
  <c r="E17" i="127"/>
  <c r="E19" i="127"/>
  <c r="E22" i="127"/>
  <c r="E27" i="127"/>
  <c r="E31" i="127"/>
  <c r="E33" i="127"/>
  <c r="E35" i="127"/>
  <c r="E36" i="127"/>
  <c r="E47" i="127"/>
  <c r="E48" i="127"/>
  <c r="E49" i="127"/>
  <c r="E50" i="127"/>
  <c r="E51" i="127"/>
  <c r="E53" i="127"/>
  <c r="H69" i="127"/>
  <c r="E12" i="113"/>
  <c r="E13" i="113"/>
  <c r="E17" i="113"/>
  <c r="E18" i="113"/>
  <c r="E20" i="113"/>
  <c r="E21" i="113"/>
  <c r="E22" i="113"/>
  <c r="E24" i="113"/>
  <c r="E27" i="113"/>
  <c r="E33" i="113"/>
  <c r="E37" i="113"/>
  <c r="E39" i="113"/>
  <c r="E41" i="113"/>
  <c r="E42" i="113"/>
  <c r="E52" i="113"/>
  <c r="E53" i="113"/>
  <c r="E54" i="113"/>
  <c r="E55" i="113"/>
  <c r="E57" i="113"/>
  <c r="H73" i="113"/>
  <c r="E12" i="120"/>
  <c r="E13" i="120"/>
  <c r="E15" i="120"/>
  <c r="E16" i="120"/>
  <c r="E17" i="120"/>
  <c r="E19" i="120"/>
  <c r="E22" i="120"/>
  <c r="E28" i="120"/>
  <c r="E32" i="120"/>
  <c r="E34" i="120"/>
  <c r="E36" i="120"/>
  <c r="E37" i="120"/>
  <c r="E39" i="120"/>
  <c r="E50" i="120"/>
  <c r="E51" i="120"/>
  <c r="E52" i="120"/>
  <c r="E53" i="120"/>
  <c r="E55" i="120"/>
  <c r="H71" i="120"/>
  <c r="E12" i="126"/>
  <c r="E13" i="126"/>
  <c r="E17" i="126"/>
  <c r="E18" i="126"/>
  <c r="E20" i="126"/>
  <c r="E21" i="126"/>
  <c r="E22" i="126"/>
  <c r="E24" i="126"/>
  <c r="E27" i="126"/>
  <c r="E33" i="126"/>
  <c r="E37" i="126"/>
  <c r="E39" i="126"/>
  <c r="E41" i="126"/>
  <c r="E42" i="126"/>
  <c r="E53" i="126"/>
  <c r="E54" i="126"/>
  <c r="E55" i="126"/>
  <c r="E56" i="126"/>
  <c r="E58" i="126"/>
  <c r="H74" i="126"/>
  <c r="E12" i="106"/>
  <c r="E13" i="106"/>
  <c r="E15" i="106"/>
  <c r="E16" i="106"/>
  <c r="E17" i="106"/>
  <c r="E18" i="106"/>
  <c r="E24" i="106"/>
  <c r="E29" i="106"/>
  <c r="E33" i="106"/>
  <c r="E34" i="106"/>
  <c r="E37" i="106"/>
  <c r="E39" i="106"/>
  <c r="E41" i="106"/>
  <c r="E44" i="106"/>
  <c r="E54" i="106"/>
  <c r="E55" i="106"/>
  <c r="E56" i="106"/>
  <c r="E57" i="106"/>
  <c r="E58" i="106"/>
  <c r="E59" i="106"/>
  <c r="E61" i="106"/>
  <c r="H77" i="106"/>
  <c r="E12" i="119"/>
  <c r="E13" i="119"/>
  <c r="E15" i="119"/>
  <c r="E16" i="119"/>
  <c r="E17" i="119"/>
  <c r="E19" i="119"/>
  <c r="E22" i="119"/>
  <c r="E28" i="119"/>
  <c r="E32" i="119"/>
  <c r="E34" i="119"/>
  <c r="E36" i="119"/>
  <c r="E37" i="119"/>
  <c r="E39" i="119"/>
  <c r="E49" i="119"/>
  <c r="E50" i="119"/>
  <c r="E51" i="119"/>
  <c r="E52" i="119"/>
  <c r="E54" i="119"/>
  <c r="H70" i="119"/>
  <c r="E12" i="96"/>
  <c r="E13" i="96"/>
  <c r="E15" i="96"/>
  <c r="E16" i="96"/>
  <c r="E17" i="96"/>
  <c r="E23" i="96"/>
  <c r="E26" i="96"/>
  <c r="E30" i="96"/>
  <c r="E34" i="96"/>
  <c r="E36" i="96"/>
  <c r="E38" i="96"/>
  <c r="E39" i="96"/>
  <c r="E43" i="96"/>
  <c r="E53" i="96"/>
  <c r="E54" i="96"/>
  <c r="E55" i="96"/>
  <c r="E56" i="96"/>
  <c r="E57" i="96"/>
  <c r="E58" i="96"/>
  <c r="E60" i="96"/>
  <c r="H76" i="96"/>
  <c r="E12" i="115"/>
  <c r="E13" i="115"/>
  <c r="E15" i="115"/>
  <c r="E16" i="115"/>
  <c r="P179" i="2"/>
  <c r="W179" i="2"/>
  <c r="L24" i="2"/>
  <c r="E19" i="115"/>
  <c r="E25" i="115"/>
  <c r="P180" i="2"/>
  <c r="W180" i="2"/>
  <c r="L48" i="2"/>
  <c r="E29" i="115"/>
  <c r="E30" i="115"/>
  <c r="E33" i="115"/>
  <c r="E35" i="115"/>
  <c r="E39" i="115"/>
  <c r="E50" i="115"/>
  <c r="E51" i="115"/>
  <c r="E52" i="115"/>
  <c r="E53" i="115"/>
  <c r="E54" i="115"/>
  <c r="E56" i="115"/>
  <c r="H72" i="115"/>
  <c r="E12" i="117"/>
  <c r="E13" i="117"/>
  <c r="E15" i="117"/>
  <c r="E16" i="117"/>
  <c r="E17" i="117"/>
  <c r="E18" i="117"/>
  <c r="E24" i="117"/>
  <c r="E28" i="117"/>
  <c r="E32" i="117"/>
  <c r="E34" i="117"/>
  <c r="E37" i="117"/>
  <c r="E48" i="117"/>
  <c r="E49" i="117"/>
  <c r="E50" i="117"/>
  <c r="E51" i="117"/>
  <c r="E52" i="117"/>
  <c r="E54" i="117"/>
  <c r="H70" i="117"/>
  <c r="E12" i="118"/>
  <c r="E13" i="118"/>
  <c r="E17" i="118"/>
  <c r="E18" i="118"/>
  <c r="E20" i="118"/>
  <c r="E21" i="118"/>
  <c r="E22" i="118"/>
  <c r="E24" i="118"/>
  <c r="E27" i="118"/>
  <c r="E32" i="118"/>
  <c r="E36" i="118"/>
  <c r="E40" i="118"/>
  <c r="E41" i="118"/>
  <c r="E42" i="118"/>
  <c r="E53" i="118"/>
  <c r="E54" i="118"/>
  <c r="E55" i="118"/>
  <c r="E56" i="118"/>
  <c r="E58" i="118"/>
  <c r="H74" i="118"/>
  <c r="E12" i="121"/>
  <c r="E13" i="121"/>
  <c r="E15" i="121"/>
  <c r="E16" i="121"/>
  <c r="E17" i="121"/>
  <c r="E19" i="121"/>
  <c r="E22" i="121"/>
  <c r="E28" i="121"/>
  <c r="E32" i="121"/>
  <c r="E34" i="121"/>
  <c r="E36" i="121"/>
  <c r="E37" i="121"/>
  <c r="E48" i="121"/>
  <c r="E49" i="121"/>
  <c r="E50" i="121"/>
  <c r="E51" i="121"/>
  <c r="E53" i="121"/>
  <c r="H69" i="121"/>
  <c r="E12" i="102"/>
  <c r="E13" i="102"/>
  <c r="E15" i="102"/>
  <c r="E16" i="102"/>
  <c r="E17" i="102"/>
  <c r="E18" i="102"/>
  <c r="E24" i="102"/>
  <c r="E29" i="102"/>
  <c r="E33" i="102"/>
  <c r="E34" i="102"/>
  <c r="E36" i="102"/>
  <c r="E38" i="102"/>
  <c r="E40" i="102"/>
  <c r="E50" i="102"/>
  <c r="E51" i="102"/>
  <c r="E52" i="102"/>
  <c r="E53" i="102"/>
  <c r="E54" i="102"/>
  <c r="E55" i="102"/>
  <c r="E57" i="102"/>
  <c r="H73" i="102"/>
  <c r="E12" i="103"/>
  <c r="E13" i="103"/>
  <c r="E15" i="103"/>
  <c r="E16" i="103"/>
  <c r="E17" i="103"/>
  <c r="E18" i="103"/>
  <c r="E24" i="103"/>
  <c r="E29" i="103"/>
  <c r="E33" i="103"/>
  <c r="E34" i="103"/>
  <c r="E36" i="103"/>
  <c r="E38" i="103"/>
  <c r="E40" i="103"/>
  <c r="E43" i="103"/>
  <c r="E53" i="103"/>
  <c r="E54" i="103"/>
  <c r="E55" i="103"/>
  <c r="E56" i="103"/>
  <c r="E57" i="103"/>
  <c r="E58" i="103"/>
  <c r="E60" i="103"/>
  <c r="H76" i="103"/>
  <c r="E12" i="85"/>
  <c r="E13" i="85"/>
  <c r="E15" i="85"/>
  <c r="E16" i="85"/>
  <c r="E17" i="85"/>
  <c r="E23" i="85"/>
  <c r="E26" i="85"/>
  <c r="E30" i="85"/>
  <c r="E34" i="85"/>
  <c r="L49" i="2"/>
  <c r="E35" i="85"/>
  <c r="E40" i="85"/>
  <c r="E42" i="85"/>
  <c r="E44" i="85"/>
  <c r="E48" i="85"/>
  <c r="L72" i="2"/>
  <c r="E60" i="85"/>
  <c r="E61" i="85"/>
  <c r="E62" i="85"/>
  <c r="E63" i="85"/>
  <c r="E64" i="85"/>
  <c r="E65" i="85"/>
  <c r="E66" i="85"/>
  <c r="E68" i="85"/>
  <c r="H84" i="85"/>
  <c r="E12" i="105"/>
  <c r="E13" i="105"/>
  <c r="E15" i="105"/>
  <c r="E16" i="105"/>
  <c r="E17" i="105"/>
  <c r="E18" i="105"/>
  <c r="E24" i="105"/>
  <c r="E29" i="105"/>
  <c r="E33" i="105"/>
  <c r="E36" i="105"/>
  <c r="E38" i="105"/>
  <c r="E48" i="105"/>
  <c r="E49" i="105"/>
  <c r="E50" i="105"/>
  <c r="E51" i="105"/>
  <c r="E52" i="105"/>
  <c r="E53" i="105"/>
  <c r="E55" i="105"/>
  <c r="H71" i="105"/>
  <c r="E12" i="161"/>
  <c r="E13" i="161"/>
  <c r="E15" i="161"/>
  <c r="E16" i="161"/>
  <c r="E17" i="161"/>
  <c r="E23" i="161"/>
  <c r="E26" i="161"/>
  <c r="E30" i="161"/>
  <c r="E34" i="161"/>
  <c r="E37" i="161"/>
  <c r="E42" i="161"/>
  <c r="E43" i="161"/>
  <c r="E52" i="161"/>
  <c r="E53" i="161"/>
  <c r="E54" i="161"/>
  <c r="E55" i="161"/>
  <c r="E56" i="161"/>
  <c r="E57" i="161"/>
  <c r="E58" i="161"/>
  <c r="E60" i="161"/>
  <c r="H76" i="161"/>
  <c r="P189" i="2"/>
  <c r="W189" i="2"/>
  <c r="L58" i="2"/>
  <c r="E43" i="114"/>
  <c r="E46" i="114"/>
  <c r="H72" i="114"/>
  <c r="P187" i="2"/>
  <c r="W187" i="2"/>
  <c r="L54" i="2"/>
  <c r="E45" i="99"/>
  <c r="E49" i="99"/>
  <c r="H75" i="99"/>
  <c r="P188" i="2"/>
  <c r="W188" i="2"/>
  <c r="L55" i="2"/>
  <c r="E50" i="109"/>
  <c r="E53" i="109"/>
  <c r="H80" i="109"/>
  <c r="E52" i="110"/>
  <c r="E54" i="110"/>
  <c r="H81" i="110"/>
  <c r="E51" i="111"/>
  <c r="E53" i="111"/>
  <c r="H80" i="111"/>
  <c r="L56" i="2"/>
  <c r="E46" i="101"/>
  <c r="E49" i="101"/>
  <c r="H75" i="101"/>
  <c r="E51" i="112"/>
  <c r="E53" i="112"/>
  <c r="H80" i="112"/>
  <c r="E45" i="123"/>
  <c r="E49" i="123"/>
  <c r="H76" i="123"/>
  <c r="E43" i="108"/>
  <c r="E45" i="108"/>
  <c r="H72" i="108"/>
  <c r="E44" i="107"/>
  <c r="E46" i="107"/>
  <c r="H74" i="107"/>
  <c r="E50" i="104"/>
  <c r="H80" i="104"/>
  <c r="L57" i="2"/>
  <c r="E42" i="116"/>
  <c r="E44" i="116"/>
  <c r="H70" i="116"/>
  <c r="E50" i="125"/>
  <c r="E54" i="125"/>
  <c r="H81" i="125"/>
  <c r="E45" i="124"/>
  <c r="H75" i="124"/>
  <c r="E40" i="127"/>
  <c r="E43" i="127"/>
  <c r="H70" i="127"/>
  <c r="E46" i="113"/>
  <c r="E48" i="113"/>
  <c r="H74" i="113"/>
  <c r="E43" i="120"/>
  <c r="E46" i="120"/>
  <c r="H72" i="120"/>
  <c r="E46" i="126"/>
  <c r="E49" i="126"/>
  <c r="H75" i="126"/>
  <c r="E48" i="106"/>
  <c r="E50" i="106"/>
  <c r="H78" i="106"/>
  <c r="E43" i="119"/>
  <c r="E45" i="119"/>
  <c r="H71" i="119"/>
  <c r="E47" i="96"/>
  <c r="E49" i="96"/>
  <c r="H77" i="96"/>
  <c r="L59" i="2"/>
  <c r="E43" i="115"/>
  <c r="E46" i="115"/>
  <c r="H73" i="115"/>
  <c r="E41" i="117"/>
  <c r="E44" i="117"/>
  <c r="H71" i="117"/>
  <c r="E46" i="118"/>
  <c r="E49" i="118"/>
  <c r="H75" i="118"/>
  <c r="E41" i="121"/>
  <c r="E44" i="121"/>
  <c r="H70" i="121"/>
  <c r="E44" i="102"/>
  <c r="E46" i="102"/>
  <c r="H74" i="102"/>
  <c r="E47" i="103"/>
  <c r="E49" i="103"/>
  <c r="H77" i="103"/>
  <c r="E52" i="85"/>
  <c r="E55" i="85"/>
  <c r="H85" i="85"/>
  <c r="E42" i="105"/>
  <c r="E44" i="105"/>
  <c r="H72" i="105"/>
  <c r="D65" i="109"/>
  <c r="E65" i="109"/>
  <c r="H65" i="109"/>
  <c r="D66" i="110"/>
  <c r="E66" i="110"/>
  <c r="H66" i="110"/>
  <c r="D65" i="111"/>
  <c r="E65" i="111"/>
  <c r="H65" i="111"/>
  <c r="D60" i="101"/>
  <c r="E60" i="101"/>
  <c r="H60" i="101"/>
  <c r="D65" i="112"/>
  <c r="E65" i="112"/>
  <c r="H65" i="112"/>
  <c r="D61" i="123"/>
  <c r="E61" i="123"/>
  <c r="H61" i="123"/>
  <c r="D57" i="108"/>
  <c r="E57" i="108"/>
  <c r="H57" i="108"/>
  <c r="D59" i="107"/>
  <c r="E59" i="107"/>
  <c r="H59" i="107"/>
  <c r="D65" i="104"/>
  <c r="E52" i="104"/>
  <c r="E65" i="104"/>
  <c r="H65" i="104"/>
  <c r="D55" i="116"/>
  <c r="E55" i="116"/>
  <c r="H55" i="116"/>
  <c r="D66" i="125"/>
  <c r="E66" i="125"/>
  <c r="H66" i="125"/>
  <c r="D60" i="124"/>
  <c r="E49" i="124"/>
  <c r="E60" i="124"/>
  <c r="H60" i="124"/>
  <c r="D55" i="127"/>
  <c r="E55" i="127"/>
  <c r="H55" i="127"/>
  <c r="D59" i="113"/>
  <c r="E59" i="113"/>
  <c r="H59" i="113"/>
  <c r="D57" i="120"/>
  <c r="E57" i="120"/>
  <c r="H57" i="120"/>
  <c r="D60" i="126"/>
  <c r="E60" i="126"/>
  <c r="H60" i="126"/>
  <c r="D63" i="106"/>
  <c r="E63" i="106"/>
  <c r="H63" i="106"/>
  <c r="D56" i="119"/>
  <c r="E56" i="119"/>
  <c r="H56" i="119"/>
  <c r="D62" i="96"/>
  <c r="E62" i="96"/>
  <c r="H62" i="96"/>
  <c r="D58" i="115"/>
  <c r="E58" i="115"/>
  <c r="H58" i="115"/>
  <c r="D56" i="117"/>
  <c r="E56" i="117"/>
  <c r="H56" i="117"/>
  <c r="D60" i="118"/>
  <c r="E60" i="118"/>
  <c r="H60" i="118"/>
  <c r="D59" i="102"/>
  <c r="E59" i="102"/>
  <c r="H59" i="102"/>
  <c r="D62" i="103"/>
  <c r="E62" i="103"/>
  <c r="H62" i="103"/>
  <c r="D70" i="85"/>
  <c r="E70" i="85"/>
  <c r="H70" i="85"/>
  <c r="D57" i="105"/>
  <c r="E57" i="105"/>
  <c r="H57" i="105"/>
  <c r="D62" i="161"/>
  <c r="E62" i="161"/>
  <c r="H62" i="161"/>
  <c r="D55" i="121"/>
  <c r="E55" i="121"/>
  <c r="H55" i="121"/>
  <c r="R179" i="2"/>
  <c r="R180" i="2"/>
  <c r="R183" i="2"/>
  <c r="R184" i="2"/>
  <c r="R187" i="2"/>
  <c r="R188" i="2"/>
  <c r="R189" i="2"/>
  <c r="R146" i="2"/>
  <c r="R147" i="2"/>
  <c r="R148" i="2"/>
  <c r="R152" i="2"/>
  <c r="R153" i="2"/>
  <c r="R154" i="2"/>
  <c r="R155" i="2"/>
  <c r="R156" i="2"/>
  <c r="R157" i="2"/>
  <c r="R158" i="2"/>
  <c r="R159" i="2"/>
  <c r="R162" i="2"/>
  <c r="R163" i="2"/>
  <c r="R165" i="2"/>
  <c r="R166" i="2"/>
  <c r="R167" i="2"/>
  <c r="R170" i="2"/>
  <c r="R171" i="2"/>
  <c r="R172" i="2"/>
  <c r="R173" i="2"/>
  <c r="R174" i="2"/>
  <c r="R175" i="2"/>
  <c r="R176" i="2"/>
  <c r="R145" i="2"/>
  <c r="B10" i="92"/>
  <c r="D10" i="92"/>
  <c r="F10" i="92"/>
  <c r="B11" i="92"/>
  <c r="D11" i="92"/>
  <c r="F11" i="92"/>
  <c r="B12" i="92"/>
  <c r="D12" i="92"/>
  <c r="F12" i="92"/>
  <c r="B13" i="92"/>
  <c r="D13" i="92"/>
  <c r="F13" i="92"/>
  <c r="B14" i="92"/>
  <c r="D14" i="92"/>
  <c r="F14" i="92"/>
  <c r="B15" i="92"/>
  <c r="D15" i="92"/>
  <c r="F15" i="92"/>
  <c r="B16" i="92"/>
  <c r="D16" i="92"/>
  <c r="F16" i="92"/>
  <c r="B17" i="92"/>
  <c r="D17" i="92"/>
  <c r="F17" i="92"/>
  <c r="B18" i="92"/>
  <c r="D18" i="92"/>
  <c r="F18" i="92"/>
  <c r="B19" i="92"/>
  <c r="D19" i="92"/>
  <c r="F19" i="92"/>
  <c r="B20" i="92"/>
  <c r="D20" i="92"/>
  <c r="F20" i="92"/>
  <c r="B21" i="92"/>
  <c r="D21" i="92"/>
  <c r="F21" i="92"/>
  <c r="B22" i="92"/>
  <c r="D22" i="92"/>
  <c r="F22" i="92"/>
  <c r="B23" i="92"/>
  <c r="D23" i="92"/>
  <c r="F23" i="92"/>
  <c r="B24" i="92"/>
  <c r="D24" i="92"/>
  <c r="F24" i="92"/>
  <c r="B25" i="92"/>
  <c r="D25" i="92"/>
  <c r="F25" i="92"/>
  <c r="B26" i="92"/>
  <c r="D26" i="92"/>
  <c r="F26" i="92"/>
  <c r="B27" i="92"/>
  <c r="D27" i="92"/>
  <c r="F27" i="92"/>
  <c r="B28" i="92"/>
  <c r="D28" i="92"/>
  <c r="F28" i="92"/>
  <c r="B29" i="92"/>
  <c r="D29" i="92"/>
  <c r="F29" i="92"/>
  <c r="B30" i="92"/>
  <c r="D30" i="92"/>
  <c r="F30" i="92"/>
  <c r="B31" i="92"/>
  <c r="D31" i="92"/>
  <c r="F31" i="92"/>
  <c r="B32" i="92"/>
  <c r="D32" i="92"/>
  <c r="F32" i="92"/>
  <c r="B33" i="92"/>
  <c r="D33" i="92"/>
  <c r="F33" i="92"/>
  <c r="B34" i="92"/>
  <c r="D34" i="92"/>
  <c r="F34" i="92"/>
  <c r="B35" i="92"/>
  <c r="D35" i="92"/>
  <c r="F35" i="92"/>
  <c r="B36" i="92"/>
  <c r="D36" i="92"/>
  <c r="F36" i="92"/>
  <c r="B15" i="91"/>
  <c r="B16" i="91"/>
  <c r="B17" i="91"/>
  <c r="B18" i="91"/>
  <c r="B19" i="91"/>
  <c r="B20" i="91"/>
  <c r="B21" i="91"/>
  <c r="B22" i="91"/>
  <c r="B23" i="91"/>
  <c r="B24" i="91"/>
  <c r="B25" i="91"/>
  <c r="B26" i="91"/>
  <c r="B27" i="91"/>
  <c r="B28" i="91"/>
  <c r="B29" i="91"/>
  <c r="B30" i="91"/>
  <c r="B31" i="91"/>
  <c r="B32" i="91"/>
  <c r="B33" i="91"/>
  <c r="B34" i="91"/>
  <c r="B35" i="91"/>
  <c r="B36" i="91"/>
  <c r="B37" i="91"/>
  <c r="B38" i="91"/>
  <c r="B39" i="91"/>
  <c r="B40" i="91"/>
  <c r="B41" i="91"/>
  <c r="D10" i="34"/>
  <c r="E10" i="34"/>
  <c r="F10" i="34"/>
  <c r="D11" i="34"/>
  <c r="E11" i="34"/>
  <c r="F11" i="34"/>
  <c r="D12" i="34"/>
  <c r="E12" i="34"/>
  <c r="F12" i="34"/>
  <c r="D13" i="34"/>
  <c r="E13" i="34"/>
  <c r="F13" i="34"/>
  <c r="D14" i="34"/>
  <c r="E14" i="34"/>
  <c r="F14" i="34"/>
  <c r="D15" i="34"/>
  <c r="E15" i="34"/>
  <c r="F15" i="34"/>
  <c r="D16" i="34"/>
  <c r="E16" i="34"/>
  <c r="F16" i="34"/>
  <c r="D17" i="34"/>
  <c r="E17" i="34"/>
  <c r="F17" i="34"/>
  <c r="D18" i="34"/>
  <c r="E18" i="34"/>
  <c r="F18" i="34"/>
  <c r="D19" i="34"/>
  <c r="E19" i="34"/>
  <c r="F19" i="34"/>
  <c r="D20" i="34"/>
  <c r="E20" i="34"/>
  <c r="F20" i="34"/>
  <c r="D21" i="34"/>
  <c r="E21" i="34"/>
  <c r="F21" i="34"/>
  <c r="D22" i="34"/>
  <c r="E22" i="34"/>
  <c r="F22" i="34"/>
  <c r="D23" i="34"/>
  <c r="E23" i="34"/>
  <c r="F23" i="34"/>
  <c r="D24" i="34"/>
  <c r="E24" i="34"/>
  <c r="F24" i="34"/>
  <c r="D25" i="34"/>
  <c r="E25" i="34"/>
  <c r="F25" i="34"/>
  <c r="D26" i="34"/>
  <c r="E26" i="34"/>
  <c r="F26" i="34"/>
  <c r="F33" i="118"/>
  <c r="F42" i="118"/>
  <c r="E119" i="93"/>
  <c r="D119" i="93"/>
  <c r="B44" i="93"/>
  <c r="B56" i="93"/>
  <c r="C56" i="93"/>
  <c r="I56" i="93"/>
  <c r="C57" i="93"/>
  <c r="I57" i="93"/>
  <c r="B45" i="93"/>
  <c r="B58" i="93"/>
  <c r="C58" i="93"/>
  <c r="I58" i="93"/>
  <c r="B59" i="93"/>
  <c r="C59" i="93"/>
  <c r="I59" i="93"/>
  <c r="C60" i="93"/>
  <c r="I60" i="93"/>
  <c r="B48" i="93"/>
  <c r="B61" i="93"/>
  <c r="C61" i="93"/>
  <c r="I61" i="93"/>
  <c r="C62" i="93"/>
  <c r="I62" i="93"/>
  <c r="B63" i="93"/>
  <c r="C63" i="93"/>
  <c r="I63" i="93"/>
  <c r="B64" i="93"/>
  <c r="C64" i="93"/>
  <c r="I64" i="93"/>
  <c r="E181" i="93"/>
  <c r="F181" i="93"/>
  <c r="G181" i="93"/>
  <c r="E182" i="93"/>
  <c r="F182" i="93"/>
  <c r="G182" i="93"/>
  <c r="E183" i="93"/>
  <c r="F183" i="93"/>
  <c r="G183" i="93"/>
  <c r="E184" i="93"/>
  <c r="F184" i="93"/>
  <c r="G184" i="93"/>
  <c r="G185" i="93"/>
  <c r="C55" i="93"/>
  <c r="E186" i="93"/>
  <c r="F186" i="93"/>
  <c r="G186" i="93"/>
  <c r="E187" i="93"/>
  <c r="F187" i="93"/>
  <c r="G187" i="93"/>
  <c r="E188" i="93"/>
  <c r="F188" i="93"/>
  <c r="G188" i="93"/>
  <c r="G189" i="93"/>
  <c r="E190" i="93"/>
  <c r="F190" i="93"/>
  <c r="G190" i="93"/>
  <c r="E191" i="93"/>
  <c r="F191" i="93"/>
  <c r="G191" i="93"/>
  <c r="G192" i="93"/>
  <c r="D193" i="93"/>
  <c r="E193" i="93"/>
  <c r="F193" i="93"/>
  <c r="G193" i="93"/>
  <c r="G194" i="93"/>
  <c r="E195" i="93"/>
  <c r="F195" i="93"/>
  <c r="G195" i="93"/>
  <c r="E196" i="93"/>
  <c r="F196" i="93"/>
  <c r="G196" i="93"/>
  <c r="E197" i="93"/>
  <c r="F197" i="93"/>
  <c r="G197" i="93"/>
  <c r="G198" i="93"/>
  <c r="E199" i="93"/>
  <c r="F199" i="93"/>
  <c r="G199" i="93"/>
  <c r="E200" i="93"/>
  <c r="F200" i="93"/>
  <c r="G200" i="93"/>
  <c r="G201" i="93"/>
  <c r="E202" i="93"/>
  <c r="F202" i="93"/>
  <c r="G202" i="93"/>
  <c r="E203" i="93"/>
  <c r="F203" i="93"/>
  <c r="G203" i="93"/>
  <c r="G204" i="93"/>
  <c r="E205" i="93"/>
  <c r="F205" i="93"/>
  <c r="G205" i="93"/>
  <c r="E206" i="93"/>
  <c r="F206" i="93"/>
  <c r="G206" i="93"/>
  <c r="E207" i="93"/>
  <c r="F207" i="93"/>
  <c r="G207" i="93"/>
  <c r="G208" i="93"/>
  <c r="E209" i="93"/>
  <c r="F209" i="93"/>
  <c r="G209" i="93"/>
  <c r="E210" i="93"/>
  <c r="F210" i="93"/>
  <c r="G210" i="93"/>
  <c r="G211" i="93"/>
  <c r="E212" i="93"/>
  <c r="F212" i="93"/>
  <c r="G212" i="93"/>
  <c r="E213" i="93"/>
  <c r="F213" i="93"/>
  <c r="G213" i="93"/>
  <c r="G214" i="93"/>
  <c r="B42" i="93"/>
  <c r="D163" i="93"/>
  <c r="E163" i="93"/>
  <c r="F163" i="93"/>
  <c r="H163" i="93"/>
  <c r="C42" i="93"/>
  <c r="B43" i="93"/>
  <c r="D164" i="93"/>
  <c r="E164" i="93"/>
  <c r="F164" i="93"/>
  <c r="H164" i="93"/>
  <c r="C43" i="93"/>
  <c r="D165" i="93"/>
  <c r="E165" i="93"/>
  <c r="F165" i="93"/>
  <c r="H165" i="93"/>
  <c r="C44" i="93"/>
  <c r="C45" i="93"/>
  <c r="B46" i="93"/>
  <c r="D167" i="93"/>
  <c r="E167" i="93"/>
  <c r="F167" i="93"/>
  <c r="H167" i="93"/>
  <c r="C46" i="93"/>
  <c r="B47" i="93"/>
  <c r="D168" i="93"/>
  <c r="E168" i="93"/>
  <c r="F168" i="93"/>
  <c r="H168" i="93"/>
  <c r="C47" i="93"/>
  <c r="H169" i="93"/>
  <c r="C48" i="93"/>
  <c r="B49" i="93"/>
  <c r="E170" i="93"/>
  <c r="F170" i="93"/>
  <c r="H170" i="93"/>
  <c r="C49" i="93"/>
  <c r="B50" i="93"/>
  <c r="H171" i="93"/>
  <c r="C50" i="93"/>
  <c r="F149" i="93"/>
  <c r="G149" i="93"/>
  <c r="F151" i="93"/>
  <c r="G151" i="93"/>
  <c r="G152" i="93"/>
  <c r="F150" i="93"/>
  <c r="G150" i="93"/>
  <c r="G153" i="93"/>
  <c r="G154" i="93"/>
  <c r="C35" i="93"/>
  <c r="G142" i="93"/>
  <c r="C36" i="93"/>
  <c r="G155" i="93"/>
  <c r="C37" i="93"/>
  <c r="D123" i="93"/>
  <c r="E123" i="93"/>
  <c r="F123" i="93"/>
  <c r="C29" i="93"/>
  <c r="F99" i="93"/>
  <c r="E99" i="93"/>
  <c r="G99" i="93"/>
  <c r="C21" i="93"/>
  <c r="F100" i="93"/>
  <c r="E100" i="93"/>
  <c r="G100" i="93"/>
  <c r="C22" i="93"/>
  <c r="C23" i="93"/>
  <c r="F101" i="93"/>
  <c r="E101" i="93"/>
  <c r="G101" i="93"/>
  <c r="C24" i="93"/>
  <c r="E82" i="93"/>
  <c r="C82" i="93"/>
  <c r="F82" i="93"/>
  <c r="G82" i="93"/>
  <c r="H82" i="93"/>
  <c r="I82" i="93"/>
  <c r="C11" i="93"/>
  <c r="E83" i="93"/>
  <c r="C83" i="93"/>
  <c r="F83" i="93"/>
  <c r="G83" i="93"/>
  <c r="H83" i="93"/>
  <c r="I83" i="93"/>
  <c r="C12" i="93"/>
  <c r="E84" i="93"/>
  <c r="C84" i="93"/>
  <c r="F84" i="93"/>
  <c r="G84" i="93"/>
  <c r="H84" i="93"/>
  <c r="I84" i="93"/>
  <c r="C13" i="93"/>
  <c r="E88" i="93"/>
  <c r="G88" i="93"/>
  <c r="C14" i="93"/>
  <c r="E89" i="93"/>
  <c r="G89" i="93"/>
  <c r="C15" i="93"/>
  <c r="E90" i="93"/>
  <c r="G90" i="93"/>
  <c r="C16" i="93"/>
  <c r="D22" i="2"/>
  <c r="K37" i="128"/>
  <c r="L23" i="128"/>
  <c r="J23" i="128"/>
  <c r="E42" i="34"/>
  <c r="F42" i="34"/>
  <c r="E81" i="2"/>
  <c r="E82" i="2"/>
  <c r="C83" i="2"/>
  <c r="D83" i="2"/>
  <c r="E83" i="2"/>
  <c r="E84" i="2"/>
  <c r="C67" i="34"/>
  <c r="C69" i="34"/>
  <c r="D67" i="34"/>
  <c r="D69" i="34"/>
  <c r="E69" i="34"/>
  <c r="G42" i="34"/>
  <c r="H42" i="34"/>
  <c r="C29" i="113"/>
  <c r="I9" i="2"/>
  <c r="C12" i="113"/>
  <c r="I69" i="2"/>
  <c r="C13" i="113"/>
  <c r="C17" i="113"/>
  <c r="I10" i="2"/>
  <c r="C18" i="113"/>
  <c r="I13" i="2"/>
  <c r="C20" i="113"/>
  <c r="I14" i="2"/>
  <c r="C21" i="113"/>
  <c r="I15" i="2"/>
  <c r="C22" i="113"/>
  <c r="I16" i="2"/>
  <c r="C24" i="113"/>
  <c r="I21" i="2"/>
  <c r="C27" i="113"/>
  <c r="I31" i="2"/>
  <c r="C33" i="113"/>
  <c r="E96" i="91"/>
  <c r="E9" i="91"/>
  <c r="C35" i="113"/>
  <c r="I39" i="2"/>
  <c r="C36" i="113"/>
  <c r="I28" i="2"/>
  <c r="C39" i="113"/>
  <c r="I34" i="2"/>
  <c r="C40" i="113"/>
  <c r="I29" i="2"/>
  <c r="C41" i="113"/>
  <c r="C42" i="113"/>
  <c r="C46" i="113"/>
  <c r="C47" i="113"/>
  <c r="C48" i="113"/>
  <c r="I66" i="2"/>
  <c r="C52" i="113"/>
  <c r="I65" i="2"/>
  <c r="C53" i="113"/>
  <c r="I67" i="2"/>
  <c r="C54" i="113"/>
  <c r="C55" i="113"/>
  <c r="C57" i="113"/>
  <c r="C59" i="113"/>
  <c r="L9" i="128"/>
  <c r="J9" i="128"/>
  <c r="F23" i="113"/>
  <c r="L42" i="34"/>
  <c r="F28" i="113"/>
  <c r="J42" i="34"/>
  <c r="F29" i="113"/>
  <c r="C81" i="93"/>
  <c r="F81" i="93"/>
  <c r="G81" i="93"/>
  <c r="H81" i="93"/>
  <c r="I81" i="93"/>
  <c r="C10" i="93"/>
  <c r="F30" i="113"/>
  <c r="F141" i="93"/>
  <c r="G141" i="93"/>
  <c r="F143" i="93"/>
  <c r="G143" i="93"/>
  <c r="F144" i="93"/>
  <c r="G144" i="93"/>
  <c r="F145" i="93"/>
  <c r="G145" i="93"/>
  <c r="G146" i="93"/>
  <c r="G147" i="93"/>
  <c r="C34" i="93"/>
  <c r="F14" i="113"/>
  <c r="C9" i="93"/>
  <c r="F19" i="113"/>
  <c r="F34" i="113"/>
  <c r="F42" i="113"/>
  <c r="F131" i="93"/>
  <c r="G131" i="93"/>
  <c r="F132" i="93"/>
  <c r="G132" i="93"/>
  <c r="F135" i="93"/>
  <c r="G135" i="93"/>
  <c r="G137" i="93"/>
  <c r="F133" i="93"/>
  <c r="G133" i="93"/>
  <c r="F134" i="93"/>
  <c r="G134" i="93"/>
  <c r="G138" i="93"/>
  <c r="G139" i="93"/>
  <c r="C33" i="93"/>
  <c r="F56" i="113"/>
  <c r="F57" i="113"/>
  <c r="F59" i="113"/>
  <c r="H95" i="2"/>
  <c r="H103" i="2"/>
  <c r="H102" i="2"/>
  <c r="H94" i="2"/>
  <c r="H101" i="2"/>
  <c r="H106" i="2"/>
  <c r="H105" i="2"/>
  <c r="H121" i="2"/>
  <c r="H120" i="2"/>
  <c r="H123" i="2"/>
  <c r="H96" i="2"/>
  <c r="H119" i="2"/>
  <c r="H124" i="2"/>
  <c r="H125" i="2"/>
  <c r="H104" i="2"/>
  <c r="N146" i="2"/>
  <c r="Q146" i="2"/>
  <c r="O146" i="2"/>
  <c r="S146" i="2"/>
  <c r="T146" i="2"/>
  <c r="V146" i="2"/>
  <c r="N154" i="2"/>
  <c r="Q154" i="2"/>
  <c r="O154" i="2"/>
  <c r="S154" i="2"/>
  <c r="T154" i="2"/>
  <c r="V154" i="2"/>
  <c r="N153" i="2"/>
  <c r="Q153" i="2"/>
  <c r="O153" i="2"/>
  <c r="S153" i="2"/>
  <c r="T153" i="2"/>
  <c r="V153" i="2"/>
  <c r="N145" i="2"/>
  <c r="Q145" i="2"/>
  <c r="O145" i="2"/>
  <c r="S145" i="2"/>
  <c r="T145" i="2"/>
  <c r="V145" i="2"/>
  <c r="N152" i="2"/>
  <c r="Q152" i="2"/>
  <c r="O152" i="2"/>
  <c r="S152" i="2"/>
  <c r="T152" i="2"/>
  <c r="V152" i="2"/>
  <c r="N157" i="2"/>
  <c r="Q157" i="2"/>
  <c r="O157" i="2"/>
  <c r="S157" i="2"/>
  <c r="T157" i="2"/>
  <c r="V157" i="2"/>
  <c r="C156" i="2"/>
  <c r="N156" i="2"/>
  <c r="Q156" i="2"/>
  <c r="O156" i="2"/>
  <c r="S156" i="2"/>
  <c r="T156" i="2"/>
  <c r="V156" i="2"/>
  <c r="C172" i="2"/>
  <c r="N172" i="2"/>
  <c r="Q172" i="2"/>
  <c r="O172" i="2"/>
  <c r="S172" i="2"/>
  <c r="T172" i="2"/>
  <c r="V172" i="2"/>
  <c r="N171" i="2"/>
  <c r="Q171" i="2"/>
  <c r="O171" i="2"/>
  <c r="S171" i="2"/>
  <c r="T171" i="2"/>
  <c r="V171" i="2"/>
  <c r="C174" i="2"/>
  <c r="N174" i="2"/>
  <c r="Q174" i="2"/>
  <c r="O174" i="2"/>
  <c r="S174" i="2"/>
  <c r="T174" i="2"/>
  <c r="V174" i="2"/>
  <c r="N147" i="2"/>
  <c r="Q147" i="2"/>
  <c r="O147" i="2"/>
  <c r="S147" i="2"/>
  <c r="T147" i="2"/>
  <c r="V147" i="2"/>
  <c r="N170" i="2"/>
  <c r="Q170" i="2"/>
  <c r="O170" i="2"/>
  <c r="S170" i="2"/>
  <c r="T170" i="2"/>
  <c r="V170" i="2"/>
  <c r="C175" i="2"/>
  <c r="N175" i="2"/>
  <c r="Q175" i="2"/>
  <c r="O175" i="2"/>
  <c r="S175" i="2"/>
  <c r="T175" i="2"/>
  <c r="V175" i="2"/>
  <c r="N176" i="2"/>
  <c r="Q176" i="2"/>
  <c r="O176" i="2"/>
  <c r="S176" i="2"/>
  <c r="T176" i="2"/>
  <c r="V176" i="2"/>
  <c r="N187" i="2"/>
  <c r="Q187" i="2"/>
  <c r="O187" i="2"/>
  <c r="S187" i="2"/>
  <c r="T187" i="2"/>
  <c r="V187" i="2"/>
  <c r="N155" i="2"/>
  <c r="Q155" i="2"/>
  <c r="O155" i="2"/>
  <c r="S155" i="2"/>
  <c r="T155" i="2"/>
  <c r="V155" i="2"/>
  <c r="N158" i="2"/>
  <c r="Q158" i="2"/>
  <c r="O158" i="2"/>
  <c r="S158" i="2"/>
  <c r="T158" i="2"/>
  <c r="V158" i="2"/>
  <c r="S62" i="179"/>
  <c r="F22" i="175"/>
  <c r="D24" i="178"/>
  <c r="G22" i="175"/>
  <c r="C22" i="175"/>
  <c r="E22" i="175"/>
  <c r="J22" i="175"/>
  <c r="K22" i="175"/>
  <c r="L24" i="128"/>
  <c r="J24" i="128"/>
  <c r="E43" i="34"/>
  <c r="F43" i="34"/>
  <c r="G43" i="34"/>
  <c r="H43" i="34"/>
  <c r="C24" i="120"/>
  <c r="C12" i="120"/>
  <c r="C13" i="120"/>
  <c r="C15" i="120"/>
  <c r="C16" i="120"/>
  <c r="C17" i="120"/>
  <c r="C19" i="120"/>
  <c r="C22" i="120"/>
  <c r="C28" i="120"/>
  <c r="C30" i="120"/>
  <c r="C31" i="120"/>
  <c r="C34" i="120"/>
  <c r="C35" i="120"/>
  <c r="C36" i="120"/>
  <c r="I37" i="2"/>
  <c r="C37" i="120"/>
  <c r="C39" i="120"/>
  <c r="C43" i="120"/>
  <c r="C45" i="120"/>
  <c r="C46" i="120"/>
  <c r="C50" i="120"/>
  <c r="C51" i="120"/>
  <c r="C52" i="120"/>
  <c r="C53" i="120"/>
  <c r="C55" i="120"/>
  <c r="C57" i="120"/>
  <c r="F18" i="120"/>
  <c r="L43" i="34"/>
  <c r="F23" i="120"/>
  <c r="J43" i="34"/>
  <c r="F24" i="120"/>
  <c r="F25" i="120"/>
  <c r="L27" i="128"/>
  <c r="J27" i="128"/>
  <c r="F38" i="120"/>
  <c r="F14" i="120"/>
  <c r="F29" i="120"/>
  <c r="F39" i="120"/>
  <c r="D237" i="93"/>
  <c r="F237" i="93"/>
  <c r="G237" i="93"/>
  <c r="C70" i="93"/>
  <c r="F44" i="120"/>
  <c r="F46" i="120"/>
  <c r="F54" i="120"/>
  <c r="F55" i="120"/>
  <c r="F57" i="120"/>
  <c r="H132" i="2"/>
  <c r="N183" i="2"/>
  <c r="Q183" i="2"/>
  <c r="O183" i="2"/>
  <c r="S183" i="2"/>
  <c r="T183" i="2"/>
  <c r="V183" i="2"/>
  <c r="T62" i="179"/>
  <c r="F23" i="175"/>
  <c r="D25" i="178"/>
  <c r="G23" i="175"/>
  <c r="C23" i="175"/>
  <c r="E23" i="175"/>
  <c r="J23" i="175"/>
  <c r="K23" i="175"/>
  <c r="L25" i="128"/>
  <c r="J25" i="128"/>
  <c r="E44" i="34"/>
  <c r="F44" i="34"/>
  <c r="G44" i="34"/>
  <c r="H44" i="34"/>
  <c r="C29" i="126"/>
  <c r="C12" i="126"/>
  <c r="C13" i="126"/>
  <c r="C17" i="126"/>
  <c r="C18" i="126"/>
  <c r="C20" i="126"/>
  <c r="C21" i="126"/>
  <c r="C22" i="126"/>
  <c r="C24" i="126"/>
  <c r="C27" i="126"/>
  <c r="C33" i="126"/>
  <c r="C35" i="126"/>
  <c r="C36" i="126"/>
  <c r="C39" i="126"/>
  <c r="C40" i="126"/>
  <c r="C41" i="126"/>
  <c r="C42" i="126"/>
  <c r="C46" i="126"/>
  <c r="C47" i="126"/>
  <c r="C49" i="126"/>
  <c r="C53" i="126"/>
  <c r="C54" i="126"/>
  <c r="C55" i="126"/>
  <c r="C56" i="126"/>
  <c r="C58" i="126"/>
  <c r="C60" i="126"/>
  <c r="F23" i="126"/>
  <c r="L44" i="34"/>
  <c r="F28" i="126"/>
  <c r="J44" i="34"/>
  <c r="F29" i="126"/>
  <c r="F30" i="126"/>
  <c r="F14" i="126"/>
  <c r="F19" i="126"/>
  <c r="F34" i="126"/>
  <c r="F42" i="126"/>
  <c r="E220" i="93"/>
  <c r="G220" i="93"/>
  <c r="H220" i="93"/>
  <c r="F48" i="126"/>
  <c r="F49" i="126"/>
  <c r="F57" i="126"/>
  <c r="F58" i="126"/>
  <c r="F60" i="126"/>
  <c r="U62" i="179"/>
  <c r="F24" i="175"/>
  <c r="D26" i="178"/>
  <c r="G24" i="175"/>
  <c r="C24" i="175"/>
  <c r="E24" i="175"/>
  <c r="J24" i="175"/>
  <c r="K24" i="175"/>
  <c r="L26" i="128"/>
  <c r="J26" i="128"/>
  <c r="E45" i="34"/>
  <c r="F45" i="34"/>
  <c r="G45" i="34"/>
  <c r="H45" i="34"/>
  <c r="C26" i="106"/>
  <c r="C12" i="106"/>
  <c r="C13" i="106"/>
  <c r="C15" i="106"/>
  <c r="I12" i="2"/>
  <c r="C16" i="106"/>
  <c r="C17" i="106"/>
  <c r="I17" i="2"/>
  <c r="C18" i="106"/>
  <c r="I22" i="2"/>
  <c r="C24" i="106"/>
  <c r="C29" i="106"/>
  <c r="C31" i="106"/>
  <c r="C32" i="106"/>
  <c r="I30" i="2"/>
  <c r="C33" i="106"/>
  <c r="I47" i="2"/>
  <c r="C36" i="106"/>
  <c r="I35" i="2"/>
  <c r="C38" i="106"/>
  <c r="C39" i="106"/>
  <c r="I40" i="2"/>
  <c r="C41" i="106"/>
  <c r="C44" i="106"/>
  <c r="I55" i="2"/>
  <c r="C48" i="106"/>
  <c r="C49" i="106"/>
  <c r="C50" i="106"/>
  <c r="I62" i="2"/>
  <c r="C54" i="106"/>
  <c r="I63" i="2"/>
  <c r="C55" i="106"/>
  <c r="I64" i="2"/>
  <c r="C56" i="106"/>
  <c r="C57" i="106"/>
  <c r="C58" i="106"/>
  <c r="C59" i="106"/>
  <c r="C61" i="106"/>
  <c r="C63" i="106"/>
  <c r="F96" i="93"/>
  <c r="E96" i="93"/>
  <c r="G96" i="93"/>
  <c r="C19" i="93"/>
  <c r="F19" i="106"/>
  <c r="L35" i="128"/>
  <c r="J35" i="128"/>
  <c r="F20" i="106"/>
  <c r="F21" i="106"/>
  <c r="L45" i="34"/>
  <c r="F25" i="106"/>
  <c r="J45" i="34"/>
  <c r="F26" i="106"/>
  <c r="F40" i="106"/>
  <c r="D109" i="93"/>
  <c r="E109" i="93"/>
  <c r="F109" i="93"/>
  <c r="D110" i="93"/>
  <c r="F110" i="93"/>
  <c r="D112" i="93"/>
  <c r="E112" i="93"/>
  <c r="F112" i="93"/>
  <c r="D107" i="93"/>
  <c r="F107" i="93"/>
  <c r="F108" i="93"/>
  <c r="E111" i="93"/>
  <c r="F111" i="93"/>
  <c r="F113" i="93"/>
  <c r="F114" i="93"/>
  <c r="F115" i="93"/>
  <c r="F116" i="93"/>
  <c r="C27" i="93"/>
  <c r="F35" i="106"/>
  <c r="F14" i="106"/>
  <c r="F42" i="106"/>
  <c r="F43" i="106"/>
  <c r="F30" i="106"/>
  <c r="F44" i="106"/>
  <c r="F60" i="106"/>
  <c r="F61" i="106"/>
  <c r="F63" i="106"/>
  <c r="H108" i="2"/>
  <c r="H111" i="2"/>
  <c r="H112" i="2"/>
  <c r="H133" i="2"/>
  <c r="H115" i="2"/>
  <c r="N159" i="2"/>
  <c r="Q159" i="2"/>
  <c r="O159" i="2"/>
  <c r="S159" i="2"/>
  <c r="T159" i="2"/>
  <c r="V159" i="2"/>
  <c r="N162" i="2"/>
  <c r="Q162" i="2"/>
  <c r="O162" i="2"/>
  <c r="S162" i="2"/>
  <c r="T162" i="2"/>
  <c r="V162" i="2"/>
  <c r="C163" i="2"/>
  <c r="N163" i="2"/>
  <c r="Q163" i="2"/>
  <c r="O163" i="2"/>
  <c r="S163" i="2"/>
  <c r="T163" i="2"/>
  <c r="V163" i="2"/>
  <c r="C165" i="2"/>
  <c r="N165" i="2"/>
  <c r="Q165" i="2"/>
  <c r="O165" i="2"/>
  <c r="S165" i="2"/>
  <c r="T165" i="2"/>
  <c r="V165" i="2"/>
  <c r="N184" i="2"/>
  <c r="Q184" i="2"/>
  <c r="O184" i="2"/>
  <c r="S184" i="2"/>
  <c r="T184" i="2"/>
  <c r="V184" i="2"/>
  <c r="C188" i="2"/>
  <c r="N188" i="2"/>
  <c r="Q188" i="2"/>
  <c r="O188" i="2"/>
  <c r="S188" i="2"/>
  <c r="T188" i="2"/>
  <c r="V188" i="2"/>
  <c r="N166" i="2"/>
  <c r="Q166" i="2"/>
  <c r="O166" i="2"/>
  <c r="S166" i="2"/>
  <c r="T166" i="2"/>
  <c r="V166" i="2"/>
  <c r="V62" i="179"/>
  <c r="F25" i="175"/>
  <c r="D27" i="178"/>
  <c r="G25" i="175"/>
  <c r="C25" i="175"/>
  <c r="E25" i="175"/>
  <c r="J25" i="175"/>
  <c r="K25" i="175"/>
  <c r="E46" i="34"/>
  <c r="F46" i="34"/>
  <c r="G46" i="34"/>
  <c r="H46" i="34"/>
  <c r="C24" i="119"/>
  <c r="C12" i="119"/>
  <c r="C13" i="119"/>
  <c r="C15" i="119"/>
  <c r="C16" i="119"/>
  <c r="C17" i="119"/>
  <c r="C19" i="119"/>
  <c r="C22" i="119"/>
  <c r="C28" i="119"/>
  <c r="C30" i="119"/>
  <c r="C31" i="119"/>
  <c r="C34" i="119"/>
  <c r="C35" i="119"/>
  <c r="C36" i="119"/>
  <c r="C37" i="119"/>
  <c r="C39" i="119"/>
  <c r="I54" i="2"/>
  <c r="C43" i="119"/>
  <c r="C44" i="119"/>
  <c r="C45" i="119"/>
  <c r="C49" i="119"/>
  <c r="C50" i="119"/>
  <c r="C51" i="119"/>
  <c r="C52" i="119"/>
  <c r="C54" i="119"/>
  <c r="C56" i="119"/>
  <c r="F18" i="119"/>
  <c r="L46" i="34"/>
  <c r="F23" i="119"/>
  <c r="J46" i="34"/>
  <c r="F24" i="119"/>
  <c r="F25" i="119"/>
  <c r="F38" i="119"/>
  <c r="F14" i="119"/>
  <c r="F29" i="119"/>
  <c r="F39" i="119"/>
  <c r="F53" i="119"/>
  <c r="F54" i="119"/>
  <c r="F56" i="119"/>
  <c r="W62" i="179"/>
  <c r="F26" i="175"/>
  <c r="D28" i="178"/>
  <c r="G26" i="175"/>
  <c r="C26" i="175"/>
  <c r="E26" i="175"/>
  <c r="J26" i="175"/>
  <c r="K26" i="175"/>
  <c r="L28" i="128"/>
  <c r="J28" i="128"/>
  <c r="E47" i="34"/>
  <c r="F47" i="34"/>
  <c r="C72" i="34"/>
  <c r="C74" i="34"/>
  <c r="C75" i="34"/>
  <c r="D72" i="34"/>
  <c r="D74" i="34"/>
  <c r="D75" i="34"/>
  <c r="E75" i="34"/>
  <c r="G47" i="34"/>
  <c r="H47" i="34"/>
  <c r="C25" i="96"/>
  <c r="C12" i="96"/>
  <c r="C13" i="96"/>
  <c r="C15" i="96"/>
  <c r="C17" i="96"/>
  <c r="C23" i="96"/>
  <c r="I25" i="2"/>
  <c r="C26" i="96"/>
  <c r="C30" i="96"/>
  <c r="C32" i="96"/>
  <c r="C33" i="96"/>
  <c r="C34" i="96"/>
  <c r="C35" i="96"/>
  <c r="C36" i="96"/>
  <c r="I33" i="2"/>
  <c r="C38" i="96"/>
  <c r="C39" i="96"/>
  <c r="C43" i="96"/>
  <c r="C47" i="96"/>
  <c r="C48" i="96"/>
  <c r="C49" i="96"/>
  <c r="C53" i="96"/>
  <c r="C54" i="96"/>
  <c r="C55" i="96"/>
  <c r="C56" i="96"/>
  <c r="C57" i="96"/>
  <c r="C58" i="96"/>
  <c r="C60" i="96"/>
  <c r="C62" i="96"/>
  <c r="F18" i="96"/>
  <c r="F19" i="96"/>
  <c r="F20" i="96"/>
  <c r="L47" i="34"/>
  <c r="F24" i="96"/>
  <c r="J47" i="34"/>
  <c r="F25" i="96"/>
  <c r="L18" i="128"/>
  <c r="J18" i="128"/>
  <c r="F37" i="96"/>
  <c r="F14" i="96"/>
  <c r="F40" i="96"/>
  <c r="F41" i="96"/>
  <c r="F42" i="96"/>
  <c r="F31" i="96"/>
  <c r="F43" i="96"/>
  <c r="F59" i="96"/>
  <c r="F60" i="96"/>
  <c r="F62" i="96"/>
  <c r="C167" i="2"/>
  <c r="N167" i="2"/>
  <c r="Q167" i="2"/>
  <c r="O167" i="2"/>
  <c r="S167" i="2"/>
  <c r="T167" i="2"/>
  <c r="V167" i="2"/>
  <c r="X62" i="179"/>
  <c r="F27" i="175"/>
  <c r="D29" i="178"/>
  <c r="G27" i="175"/>
  <c r="C27" i="175"/>
  <c r="E27" i="175"/>
  <c r="J27" i="175"/>
  <c r="K27" i="175"/>
  <c r="F20" i="115"/>
  <c r="L29" i="128"/>
  <c r="J29" i="128"/>
  <c r="F21" i="115"/>
  <c r="F34" i="115"/>
  <c r="F14" i="115"/>
  <c r="F22" i="115"/>
  <c r="F36" i="115"/>
  <c r="F37" i="115"/>
  <c r="F38" i="115"/>
  <c r="F26" i="115"/>
  <c r="F39" i="115"/>
  <c r="H228" i="93"/>
  <c r="D228" i="93"/>
  <c r="E228" i="93"/>
  <c r="F228" i="93"/>
  <c r="G228" i="93"/>
  <c r="I228" i="93"/>
  <c r="H229" i="93"/>
  <c r="D229" i="93"/>
  <c r="E229" i="93"/>
  <c r="F229" i="93"/>
  <c r="G229" i="93"/>
  <c r="I229" i="93"/>
  <c r="I230" i="93"/>
  <c r="L30" i="128"/>
  <c r="J30" i="128"/>
  <c r="H231" i="93"/>
  <c r="D231" i="93"/>
  <c r="E231" i="93"/>
  <c r="F231" i="93"/>
  <c r="G231" i="93"/>
  <c r="I231" i="93"/>
  <c r="H232" i="93"/>
  <c r="D232" i="93"/>
  <c r="E232" i="93"/>
  <c r="F232" i="93"/>
  <c r="G232" i="93"/>
  <c r="I232" i="93"/>
  <c r="I233" i="93"/>
  <c r="I234" i="93"/>
  <c r="C69" i="93"/>
  <c r="F45" i="115"/>
  <c r="F46" i="115"/>
  <c r="F55" i="115"/>
  <c r="F56" i="115"/>
  <c r="F58" i="115"/>
  <c r="C12" i="115"/>
  <c r="C13" i="115"/>
  <c r="C15" i="115"/>
  <c r="I24" i="2"/>
  <c r="C19" i="115"/>
  <c r="C25" i="115"/>
  <c r="C27" i="115"/>
  <c r="C28" i="115"/>
  <c r="I48" i="2"/>
  <c r="C29" i="115"/>
  <c r="C32" i="115"/>
  <c r="C33" i="115"/>
  <c r="C35" i="115"/>
  <c r="C39" i="115"/>
  <c r="I59" i="2"/>
  <c r="C43" i="115"/>
  <c r="C44" i="115"/>
  <c r="C46" i="115"/>
  <c r="C50" i="115"/>
  <c r="C51" i="115"/>
  <c r="C52" i="115"/>
  <c r="C53" i="115"/>
  <c r="C54" i="115"/>
  <c r="C56" i="115"/>
  <c r="C58" i="115"/>
  <c r="H128" i="2"/>
  <c r="N179" i="2"/>
  <c r="Q179" i="2"/>
  <c r="O179" i="2"/>
  <c r="S179" i="2"/>
  <c r="T179" i="2"/>
  <c r="V179" i="2"/>
  <c r="N180" i="2"/>
  <c r="Q180" i="2"/>
  <c r="O180" i="2"/>
  <c r="S180" i="2"/>
  <c r="T180" i="2"/>
  <c r="V180" i="2"/>
  <c r="Y62" i="179"/>
  <c r="F28" i="175"/>
  <c r="D30" i="178"/>
  <c r="G28" i="175"/>
  <c r="C28" i="175"/>
  <c r="E28" i="175"/>
  <c r="J28" i="175"/>
  <c r="K28" i="175"/>
  <c r="F19" i="117"/>
  <c r="F20" i="117"/>
  <c r="F21" i="117"/>
  <c r="F14" i="117"/>
  <c r="F25" i="117"/>
  <c r="F35" i="117"/>
  <c r="F36" i="117"/>
  <c r="F29" i="117"/>
  <c r="F37" i="117"/>
  <c r="F43" i="117"/>
  <c r="F44" i="117"/>
  <c r="F53" i="117"/>
  <c r="F54" i="117"/>
  <c r="F56" i="117"/>
  <c r="C12" i="117"/>
  <c r="C13" i="117"/>
  <c r="C15" i="117"/>
  <c r="C16" i="117"/>
  <c r="C17" i="117"/>
  <c r="C18" i="117"/>
  <c r="C24" i="117"/>
  <c r="C28" i="117"/>
  <c r="C30" i="117"/>
  <c r="C31" i="117"/>
  <c r="C32" i="117"/>
  <c r="C33" i="117"/>
  <c r="C34" i="117"/>
  <c r="C37" i="117"/>
  <c r="C41" i="117"/>
  <c r="C42" i="117"/>
  <c r="C44" i="117"/>
  <c r="C48" i="117"/>
  <c r="C49" i="117"/>
  <c r="C50" i="117"/>
  <c r="C51" i="117"/>
  <c r="C52" i="117"/>
  <c r="C54" i="117"/>
  <c r="C56" i="117"/>
  <c r="Z62" i="179"/>
  <c r="F29" i="175"/>
  <c r="D31" i="178"/>
  <c r="G29" i="175"/>
  <c r="C29" i="175"/>
  <c r="E29" i="175"/>
  <c r="J29" i="175"/>
  <c r="K29" i="175"/>
  <c r="F23" i="118"/>
  <c r="F28" i="118"/>
  <c r="L31" i="128"/>
  <c r="J31" i="128"/>
  <c r="F29" i="118"/>
  <c r="F119" i="93"/>
  <c r="F120" i="93"/>
  <c r="C28" i="93"/>
  <c r="F39" i="118"/>
  <c r="F14" i="118"/>
  <c r="F19" i="118"/>
  <c r="F57" i="118"/>
  <c r="F58" i="118"/>
  <c r="F60" i="118"/>
  <c r="C12" i="118"/>
  <c r="C13" i="118"/>
  <c r="C17" i="118"/>
  <c r="C18" i="118"/>
  <c r="C20" i="118"/>
  <c r="C22" i="118"/>
  <c r="C24" i="118"/>
  <c r="I20" i="2"/>
  <c r="C27" i="118"/>
  <c r="C32" i="118"/>
  <c r="C34" i="118"/>
  <c r="C35" i="118"/>
  <c r="C40" i="118"/>
  <c r="C41" i="118"/>
  <c r="C42" i="118"/>
  <c r="C46" i="118"/>
  <c r="C48" i="118"/>
  <c r="C49" i="118"/>
  <c r="C53" i="118"/>
  <c r="C54" i="118"/>
  <c r="C55" i="118"/>
  <c r="C56" i="118"/>
  <c r="C58" i="118"/>
  <c r="C60" i="118"/>
  <c r="H122" i="2"/>
  <c r="N173" i="2"/>
  <c r="Q173" i="2"/>
  <c r="O173" i="2"/>
  <c r="S173" i="2"/>
  <c r="T173" i="2"/>
  <c r="V173" i="2"/>
  <c r="AA62" i="179"/>
  <c r="F30" i="175"/>
  <c r="D32" i="178"/>
  <c r="G30" i="175"/>
  <c r="C30" i="175"/>
  <c r="E30" i="175"/>
  <c r="J30" i="175"/>
  <c r="K30" i="175"/>
  <c r="L32" i="128"/>
  <c r="J32" i="128"/>
  <c r="E48" i="34"/>
  <c r="F48" i="34"/>
  <c r="G48" i="34"/>
  <c r="H48" i="34"/>
  <c r="C24" i="121"/>
  <c r="C12" i="121"/>
  <c r="C13" i="121"/>
  <c r="C15" i="121"/>
  <c r="C16" i="121"/>
  <c r="C17" i="121"/>
  <c r="C19" i="121"/>
  <c r="C22" i="121"/>
  <c r="C28" i="121"/>
  <c r="C30" i="121"/>
  <c r="C31" i="121"/>
  <c r="C34" i="121"/>
  <c r="C35" i="121"/>
  <c r="C36" i="121"/>
  <c r="C37" i="121"/>
  <c r="C41" i="121"/>
  <c r="C43" i="121"/>
  <c r="C44" i="121"/>
  <c r="C48" i="121"/>
  <c r="C49" i="121"/>
  <c r="C50" i="121"/>
  <c r="C51" i="121"/>
  <c r="C53" i="121"/>
  <c r="C55" i="121"/>
  <c r="F18" i="121"/>
  <c r="L48" i="34"/>
  <c r="F23" i="121"/>
  <c r="J48" i="34"/>
  <c r="F24" i="121"/>
  <c r="F25" i="121"/>
  <c r="F14" i="121"/>
  <c r="F29" i="121"/>
  <c r="F37" i="121"/>
  <c r="F42" i="121"/>
  <c r="F44" i="121"/>
  <c r="F52" i="121"/>
  <c r="F53" i="121"/>
  <c r="F55" i="121"/>
  <c r="AB62" i="179"/>
  <c r="F31" i="175"/>
  <c r="D33" i="178"/>
  <c r="G31" i="175"/>
  <c r="C31" i="175"/>
  <c r="E31" i="175"/>
  <c r="J31" i="175"/>
  <c r="K31" i="175"/>
  <c r="L33" i="128"/>
  <c r="J33" i="128"/>
  <c r="E49" i="34"/>
  <c r="F49" i="34"/>
  <c r="G49" i="34"/>
  <c r="H49" i="34"/>
  <c r="C26" i="102"/>
  <c r="C12" i="102"/>
  <c r="C13" i="102"/>
  <c r="C15" i="102"/>
  <c r="C16" i="102"/>
  <c r="C17" i="102"/>
  <c r="C18" i="102"/>
  <c r="C24" i="102"/>
  <c r="C29" i="102"/>
  <c r="C31" i="102"/>
  <c r="C32" i="102"/>
  <c r="C33" i="102"/>
  <c r="C37" i="102"/>
  <c r="C38" i="102"/>
  <c r="C40" i="102"/>
  <c r="C44" i="102"/>
  <c r="C45" i="102"/>
  <c r="C46" i="102"/>
  <c r="C50" i="102"/>
  <c r="C51" i="102"/>
  <c r="C52" i="102"/>
  <c r="C53" i="102"/>
  <c r="C54" i="102"/>
  <c r="C55" i="102"/>
  <c r="C57" i="102"/>
  <c r="C59" i="102"/>
  <c r="F19" i="102"/>
  <c r="F20" i="102"/>
  <c r="F21" i="102"/>
  <c r="L49" i="34"/>
  <c r="F25" i="102"/>
  <c r="J49" i="34"/>
  <c r="F26" i="102"/>
  <c r="F39" i="102"/>
  <c r="F35" i="102"/>
  <c r="F14" i="102"/>
  <c r="F30" i="102"/>
  <c r="F40" i="102"/>
  <c r="F56" i="102"/>
  <c r="F57" i="102"/>
  <c r="F59" i="102"/>
  <c r="AC62" i="179"/>
  <c r="F32" i="175"/>
  <c r="D34" i="178"/>
  <c r="G32" i="175"/>
  <c r="C32" i="175"/>
  <c r="E32" i="175"/>
  <c r="J32" i="175"/>
  <c r="K32" i="175"/>
  <c r="L34" i="128"/>
  <c r="J34" i="128"/>
  <c r="E50" i="34"/>
  <c r="F50" i="34"/>
  <c r="G50" i="34"/>
  <c r="H50" i="34"/>
  <c r="C26" i="103"/>
  <c r="C12" i="103"/>
  <c r="C13" i="103"/>
  <c r="C15" i="103"/>
  <c r="C16" i="103"/>
  <c r="C17" i="103"/>
  <c r="C18" i="103"/>
  <c r="C24" i="103"/>
  <c r="C29" i="103"/>
  <c r="C31" i="103"/>
  <c r="C32" i="103"/>
  <c r="C33" i="103"/>
  <c r="C37" i="103"/>
  <c r="C38" i="103"/>
  <c r="C40" i="103"/>
  <c r="C43" i="103"/>
  <c r="C47" i="103"/>
  <c r="C48" i="103"/>
  <c r="C49" i="103"/>
  <c r="C53" i="103"/>
  <c r="C54" i="103"/>
  <c r="C55" i="103"/>
  <c r="C56" i="103"/>
  <c r="C57" i="103"/>
  <c r="C58" i="103"/>
  <c r="C60" i="103"/>
  <c r="C62" i="103"/>
  <c r="F19" i="103"/>
  <c r="F20" i="103"/>
  <c r="F21" i="103"/>
  <c r="L50" i="34"/>
  <c r="F25" i="103"/>
  <c r="J50" i="34"/>
  <c r="F26" i="103"/>
  <c r="F39" i="103"/>
  <c r="F35" i="103"/>
  <c r="F14" i="103"/>
  <c r="F41" i="103"/>
  <c r="F42" i="103"/>
  <c r="F30" i="103"/>
  <c r="F43" i="103"/>
  <c r="F59" i="103"/>
  <c r="F60" i="103"/>
  <c r="F62" i="103"/>
  <c r="AD62" i="179"/>
  <c r="F33" i="175"/>
  <c r="D35" i="178"/>
  <c r="G33" i="175"/>
  <c r="C33" i="175"/>
  <c r="E33" i="175"/>
  <c r="J33" i="175"/>
  <c r="K33" i="175"/>
  <c r="E51" i="34"/>
  <c r="F51" i="34"/>
  <c r="G51" i="34"/>
  <c r="H51" i="34"/>
  <c r="C25" i="85"/>
  <c r="C12" i="85"/>
  <c r="C13" i="85"/>
  <c r="C15" i="85"/>
  <c r="C17" i="85"/>
  <c r="C23" i="85"/>
  <c r="C26" i="85"/>
  <c r="C30" i="85"/>
  <c r="C32" i="85"/>
  <c r="C33" i="85"/>
  <c r="C34" i="85"/>
  <c r="I49" i="2"/>
  <c r="C35" i="85"/>
  <c r="I50" i="2"/>
  <c r="C37" i="85"/>
  <c r="I51" i="2"/>
  <c r="C38" i="85"/>
  <c r="C40" i="85"/>
  <c r="C41" i="85"/>
  <c r="C42" i="85"/>
  <c r="C44" i="85"/>
  <c r="C48" i="85"/>
  <c r="C52" i="85"/>
  <c r="C53" i="85"/>
  <c r="C55" i="85"/>
  <c r="I71" i="2"/>
  <c r="C59" i="85"/>
  <c r="I72" i="2"/>
  <c r="C60" i="85"/>
  <c r="C61" i="85"/>
  <c r="C62" i="85"/>
  <c r="C63" i="85"/>
  <c r="C64" i="85"/>
  <c r="C65" i="85"/>
  <c r="C66" i="85"/>
  <c r="C68" i="85"/>
  <c r="C70" i="85"/>
  <c r="F18" i="85"/>
  <c r="F19" i="85"/>
  <c r="F20" i="85"/>
  <c r="L51" i="34"/>
  <c r="F24" i="85"/>
  <c r="J51" i="34"/>
  <c r="F25" i="85"/>
  <c r="E124" i="93"/>
  <c r="F124" i="93"/>
  <c r="F125" i="93"/>
  <c r="C30" i="93"/>
  <c r="F36" i="85"/>
  <c r="F39" i="85"/>
  <c r="F43" i="85"/>
  <c r="F14" i="85"/>
  <c r="F45" i="85"/>
  <c r="F46" i="85"/>
  <c r="F47" i="85"/>
  <c r="F31" i="85"/>
  <c r="F48" i="85"/>
  <c r="C71" i="93"/>
  <c r="F54" i="85"/>
  <c r="F55" i="85"/>
  <c r="F67" i="85"/>
  <c r="F68" i="85"/>
  <c r="F70" i="85"/>
  <c r="AE62" i="179"/>
  <c r="F34" i="175"/>
  <c r="D36" i="178"/>
  <c r="G34" i="175"/>
  <c r="C34" i="175"/>
  <c r="E34" i="175"/>
  <c r="J34" i="175"/>
  <c r="K34" i="175"/>
  <c r="L36" i="128"/>
  <c r="J36" i="128"/>
  <c r="E52" i="34"/>
  <c r="F52" i="34"/>
  <c r="G52" i="34"/>
  <c r="H52" i="34"/>
  <c r="C26" i="105"/>
  <c r="C12" i="105"/>
  <c r="C13" i="105"/>
  <c r="C15" i="105"/>
  <c r="C16" i="105"/>
  <c r="C17" i="105"/>
  <c r="C18" i="105"/>
  <c r="C24" i="105"/>
  <c r="C29" i="105"/>
  <c r="C31" i="105"/>
  <c r="C32" i="105"/>
  <c r="C33" i="105"/>
  <c r="C34" i="105"/>
  <c r="C35" i="105"/>
  <c r="C36" i="105"/>
  <c r="C38" i="105"/>
  <c r="C42" i="105"/>
  <c r="C43" i="105"/>
  <c r="C44" i="105"/>
  <c r="C48" i="105"/>
  <c r="C49" i="105"/>
  <c r="C50" i="105"/>
  <c r="C51" i="105"/>
  <c r="C52" i="105"/>
  <c r="C53" i="105"/>
  <c r="C55" i="105"/>
  <c r="C57" i="105"/>
  <c r="F19" i="105"/>
  <c r="F20" i="105"/>
  <c r="F21" i="105"/>
  <c r="L52" i="34"/>
  <c r="F25" i="105"/>
  <c r="J52" i="34"/>
  <c r="F26" i="105"/>
  <c r="F37" i="105"/>
  <c r="F14" i="105"/>
  <c r="F30" i="105"/>
  <c r="F38" i="105"/>
  <c r="F54" i="105"/>
  <c r="F55" i="105"/>
  <c r="F57" i="105"/>
  <c r="AF62" i="179"/>
  <c r="F35" i="175"/>
  <c r="D37" i="178"/>
  <c r="G35" i="175"/>
  <c r="C35" i="175"/>
  <c r="E35" i="175"/>
  <c r="J35" i="175"/>
  <c r="K35" i="175"/>
  <c r="L37" i="128"/>
  <c r="J37" i="128"/>
  <c r="E53" i="34"/>
  <c r="F53" i="34"/>
  <c r="G53" i="34"/>
  <c r="H53" i="34"/>
  <c r="C25" i="161"/>
  <c r="C12" i="161"/>
  <c r="C13" i="161"/>
  <c r="C15" i="161"/>
  <c r="C16" i="161"/>
  <c r="C17" i="161"/>
  <c r="C23" i="161"/>
  <c r="C26" i="161"/>
  <c r="C30" i="161"/>
  <c r="C32" i="161"/>
  <c r="C33" i="161"/>
  <c r="C34" i="161"/>
  <c r="C35" i="161"/>
  <c r="C36" i="161"/>
  <c r="C37" i="161"/>
  <c r="C39" i="161"/>
  <c r="C40" i="161"/>
  <c r="C42" i="161"/>
  <c r="C43" i="161"/>
  <c r="C51" i="161"/>
  <c r="C52" i="161"/>
  <c r="C53" i="161"/>
  <c r="C54" i="161"/>
  <c r="C55" i="161"/>
  <c r="C56" i="161"/>
  <c r="C57" i="161"/>
  <c r="C58" i="161"/>
  <c r="C60" i="161"/>
  <c r="C62" i="161"/>
  <c r="F18" i="161"/>
  <c r="F19" i="161"/>
  <c r="F20" i="161"/>
  <c r="L53" i="34"/>
  <c r="F24" i="161"/>
  <c r="J53" i="34"/>
  <c r="F25" i="161"/>
  <c r="F38" i="161"/>
  <c r="F41" i="161"/>
  <c r="F14" i="161"/>
  <c r="F31" i="161"/>
  <c r="F43" i="161"/>
  <c r="F59" i="161"/>
  <c r="F60" i="161"/>
  <c r="F62" i="161"/>
  <c r="AG62" i="179"/>
  <c r="F36" i="175"/>
  <c r="D38" i="178"/>
  <c r="G36" i="175"/>
  <c r="C36" i="175"/>
  <c r="E36" i="175"/>
  <c r="J36" i="175"/>
  <c r="K36" i="175"/>
  <c r="L8" i="128"/>
  <c r="D8" i="92"/>
  <c r="C43" i="114"/>
  <c r="F8" i="92"/>
  <c r="C44" i="114"/>
  <c r="C46" i="114"/>
  <c r="H66" i="114"/>
  <c r="D9" i="92"/>
  <c r="C45" i="99"/>
  <c r="F9" i="92"/>
  <c r="C47" i="99"/>
  <c r="C49" i="99"/>
  <c r="H69" i="99"/>
  <c r="L10" i="128"/>
  <c r="C50" i="109"/>
  <c r="C51" i="109"/>
  <c r="C53" i="109"/>
  <c r="H74" i="109"/>
  <c r="L11" i="128"/>
  <c r="C52" i="110"/>
  <c r="C53" i="110"/>
  <c r="C54" i="110"/>
  <c r="H75" i="110"/>
  <c r="L12" i="128"/>
  <c r="C51" i="111"/>
  <c r="C52" i="111"/>
  <c r="C53" i="111"/>
  <c r="H74" i="111"/>
  <c r="L13" i="128"/>
  <c r="C46" i="101"/>
  <c r="C47" i="101"/>
  <c r="C49" i="101"/>
  <c r="H69" i="101"/>
  <c r="L14" i="128"/>
  <c r="C51" i="112"/>
  <c r="C52" i="112"/>
  <c r="C53" i="112"/>
  <c r="H74" i="112"/>
  <c r="L15" i="128"/>
  <c r="C45" i="123"/>
  <c r="C47" i="123"/>
  <c r="C49" i="123"/>
  <c r="H70" i="123"/>
  <c r="L16" i="128"/>
  <c r="C43" i="108"/>
  <c r="C44" i="108"/>
  <c r="C45" i="108"/>
  <c r="H66" i="108"/>
  <c r="L17" i="128"/>
  <c r="C44" i="107"/>
  <c r="C45" i="107"/>
  <c r="C46" i="107"/>
  <c r="H68" i="107"/>
  <c r="C50" i="104"/>
  <c r="C51" i="104"/>
  <c r="C52" i="104"/>
  <c r="H74" i="104"/>
  <c r="L19" i="128"/>
  <c r="C42" i="116"/>
  <c r="C43" i="116"/>
  <c r="C44" i="116"/>
  <c r="H64" i="116"/>
  <c r="L20" i="128"/>
  <c r="C50" i="125"/>
  <c r="C52" i="125"/>
  <c r="C54" i="125"/>
  <c r="H75" i="125"/>
  <c r="L21" i="128"/>
  <c r="C45" i="124"/>
  <c r="C46" i="124"/>
  <c r="C49" i="124"/>
  <c r="H69" i="124"/>
  <c r="L22" i="128"/>
  <c r="C40" i="127"/>
  <c r="C42" i="127"/>
  <c r="C43" i="127"/>
  <c r="H64" i="127"/>
  <c r="H68" i="113"/>
  <c r="H66" i="120"/>
  <c r="H69" i="126"/>
  <c r="H72" i="106"/>
  <c r="H65" i="119"/>
  <c r="H71" i="96"/>
  <c r="H67" i="115"/>
  <c r="H65" i="117"/>
  <c r="H69" i="118"/>
  <c r="H68" i="102"/>
  <c r="H71" i="103"/>
  <c r="H79" i="85"/>
  <c r="H66" i="105"/>
  <c r="H64" i="121"/>
  <c r="C12" i="114"/>
  <c r="C13" i="114"/>
  <c r="C15" i="114"/>
  <c r="C16" i="114"/>
  <c r="C17" i="114"/>
  <c r="C18" i="114"/>
  <c r="C20" i="114"/>
  <c r="C23" i="114"/>
  <c r="C28" i="114"/>
  <c r="C30" i="114"/>
  <c r="C31" i="114"/>
  <c r="I32" i="2"/>
  <c r="C32" i="114"/>
  <c r="C34" i="114"/>
  <c r="C35" i="114"/>
  <c r="C36" i="114"/>
  <c r="C37" i="114"/>
  <c r="C39" i="114"/>
  <c r="C50" i="114"/>
  <c r="C51" i="114"/>
  <c r="C52" i="114"/>
  <c r="C53" i="114"/>
  <c r="C55" i="114"/>
  <c r="H62" i="114"/>
  <c r="C12" i="99"/>
  <c r="C13" i="99"/>
  <c r="C17" i="99"/>
  <c r="C18" i="99"/>
  <c r="C20" i="99"/>
  <c r="C21" i="99"/>
  <c r="C22" i="99"/>
  <c r="C24" i="99"/>
  <c r="C27" i="99"/>
  <c r="C32" i="99"/>
  <c r="C34" i="99"/>
  <c r="C35" i="99"/>
  <c r="C36" i="99"/>
  <c r="C38" i="99"/>
  <c r="I41" i="2"/>
  <c r="C39" i="99"/>
  <c r="C40" i="99"/>
  <c r="C41" i="99"/>
  <c r="C53" i="99"/>
  <c r="C54" i="99"/>
  <c r="C55" i="99"/>
  <c r="C56" i="99"/>
  <c r="C58" i="99"/>
  <c r="H65" i="99"/>
  <c r="J10" i="128"/>
  <c r="E35" i="34"/>
  <c r="F35" i="34"/>
  <c r="G35" i="34"/>
  <c r="H35" i="34"/>
  <c r="D8" i="34"/>
  <c r="C29" i="109"/>
  <c r="C12" i="109"/>
  <c r="C13" i="109"/>
  <c r="C17" i="109"/>
  <c r="C18" i="109"/>
  <c r="C20" i="109"/>
  <c r="C21" i="109"/>
  <c r="C22" i="109"/>
  <c r="C24" i="109"/>
  <c r="C27" i="109"/>
  <c r="C33" i="109"/>
  <c r="C35" i="109"/>
  <c r="C36" i="109"/>
  <c r="C37" i="109"/>
  <c r="C39" i="109"/>
  <c r="C40" i="109"/>
  <c r="C41" i="109"/>
  <c r="I38" i="2"/>
  <c r="C42" i="109"/>
  <c r="C44" i="109"/>
  <c r="C46" i="109"/>
  <c r="C57" i="109"/>
  <c r="C58" i="109"/>
  <c r="C59" i="109"/>
  <c r="C60" i="109"/>
  <c r="C61" i="109"/>
  <c r="C63" i="109"/>
  <c r="H70" i="109"/>
  <c r="J11" i="128"/>
  <c r="E36" i="34"/>
  <c r="F36" i="34"/>
  <c r="G36" i="34"/>
  <c r="H36" i="34"/>
  <c r="D9" i="34"/>
  <c r="C30" i="110"/>
  <c r="C12" i="110"/>
  <c r="C13" i="110"/>
  <c r="C17" i="110"/>
  <c r="C18" i="110"/>
  <c r="C20" i="110"/>
  <c r="C21" i="110"/>
  <c r="C22" i="110"/>
  <c r="C23" i="110"/>
  <c r="C25" i="110"/>
  <c r="C28" i="110"/>
  <c r="C34" i="110"/>
  <c r="C36" i="110"/>
  <c r="C37" i="110"/>
  <c r="C38" i="110"/>
  <c r="C40" i="110"/>
  <c r="C41" i="110"/>
  <c r="C42" i="110"/>
  <c r="C43" i="110"/>
  <c r="C45" i="110"/>
  <c r="I42" i="2"/>
  <c r="C47" i="110"/>
  <c r="C48" i="110"/>
  <c r="C58" i="110"/>
  <c r="C59" i="110"/>
  <c r="C60" i="110"/>
  <c r="C61" i="110"/>
  <c r="C62" i="110"/>
  <c r="C64" i="110"/>
  <c r="H71" i="110"/>
  <c r="J12" i="128"/>
  <c r="E37" i="34"/>
  <c r="F37" i="34"/>
  <c r="G37" i="34"/>
  <c r="H37" i="34"/>
  <c r="C30" i="111"/>
  <c r="C12" i="111"/>
  <c r="C13" i="111"/>
  <c r="C17" i="111"/>
  <c r="C18" i="111"/>
  <c r="C20" i="111"/>
  <c r="C21" i="111"/>
  <c r="C22" i="111"/>
  <c r="C23" i="111"/>
  <c r="C25" i="111"/>
  <c r="C28" i="111"/>
  <c r="C34" i="111"/>
  <c r="C36" i="111"/>
  <c r="C37" i="111"/>
  <c r="C38" i="111"/>
  <c r="C40" i="111"/>
  <c r="C41" i="111"/>
  <c r="C42" i="111"/>
  <c r="C43" i="111"/>
  <c r="C45" i="111"/>
  <c r="C47" i="111"/>
  <c r="C57" i="111"/>
  <c r="C58" i="111"/>
  <c r="C59" i="111"/>
  <c r="C60" i="111"/>
  <c r="C61" i="111"/>
  <c r="C63" i="111"/>
  <c r="H70" i="111"/>
  <c r="C12" i="101"/>
  <c r="C13" i="101"/>
  <c r="C17" i="101"/>
  <c r="C18" i="101"/>
  <c r="C20" i="101"/>
  <c r="C22" i="101"/>
  <c r="C24" i="101"/>
  <c r="C27" i="101"/>
  <c r="C32" i="101"/>
  <c r="C34" i="101"/>
  <c r="C35" i="101"/>
  <c r="C36" i="101"/>
  <c r="C38" i="101"/>
  <c r="I43" i="2"/>
  <c r="C39" i="101"/>
  <c r="C40" i="101"/>
  <c r="C41" i="101"/>
  <c r="C42" i="101"/>
  <c r="C53" i="101"/>
  <c r="C54" i="101"/>
  <c r="C55" i="101"/>
  <c r="C56" i="101"/>
  <c r="C58" i="101"/>
  <c r="H65" i="101"/>
  <c r="J14" i="128"/>
  <c r="E38" i="34"/>
  <c r="F38" i="34"/>
  <c r="G38" i="34"/>
  <c r="H38" i="34"/>
  <c r="C30" i="112"/>
  <c r="C12" i="112"/>
  <c r="C13" i="112"/>
  <c r="C17" i="112"/>
  <c r="C18" i="112"/>
  <c r="C20" i="112"/>
  <c r="C21" i="112"/>
  <c r="C22" i="112"/>
  <c r="C23" i="112"/>
  <c r="C25" i="112"/>
  <c r="C28" i="112"/>
  <c r="C34" i="112"/>
  <c r="C36" i="112"/>
  <c r="C37" i="112"/>
  <c r="C38" i="112"/>
  <c r="C40" i="112"/>
  <c r="C41" i="112"/>
  <c r="C42" i="112"/>
  <c r="C43" i="112"/>
  <c r="C45" i="112"/>
  <c r="C47" i="112"/>
  <c r="C57" i="112"/>
  <c r="C58" i="112"/>
  <c r="C59" i="112"/>
  <c r="C60" i="112"/>
  <c r="C61" i="112"/>
  <c r="C63" i="112"/>
  <c r="H70" i="112"/>
  <c r="C12" i="123"/>
  <c r="C13" i="123"/>
  <c r="C17" i="123"/>
  <c r="C18" i="123"/>
  <c r="C20" i="123"/>
  <c r="C21" i="123"/>
  <c r="C22" i="123"/>
  <c r="C24" i="123"/>
  <c r="C27" i="123"/>
  <c r="C32" i="123"/>
  <c r="C34" i="123"/>
  <c r="C35" i="123"/>
  <c r="C38" i="123"/>
  <c r="C39" i="123"/>
  <c r="C40" i="123"/>
  <c r="C41" i="123"/>
  <c r="C53" i="123"/>
  <c r="C54" i="123"/>
  <c r="C55" i="123"/>
  <c r="C56" i="123"/>
  <c r="C57" i="123"/>
  <c r="C59" i="123"/>
  <c r="H66" i="123"/>
  <c r="C12" i="108"/>
  <c r="C13" i="108"/>
  <c r="C15" i="108"/>
  <c r="C16" i="108"/>
  <c r="C18" i="108"/>
  <c r="C20" i="108"/>
  <c r="C23" i="108"/>
  <c r="C28" i="108"/>
  <c r="C30" i="108"/>
  <c r="C31" i="108"/>
  <c r="C34" i="108"/>
  <c r="C35" i="108"/>
  <c r="C36" i="108"/>
  <c r="C37" i="108"/>
  <c r="C39" i="108"/>
  <c r="C49" i="108"/>
  <c r="C50" i="108"/>
  <c r="C51" i="108"/>
  <c r="C52" i="108"/>
  <c r="C53" i="108"/>
  <c r="C55" i="108"/>
  <c r="H62" i="108"/>
  <c r="J17" i="128"/>
  <c r="E39" i="34"/>
  <c r="F39" i="34"/>
  <c r="G39" i="34"/>
  <c r="H39" i="34"/>
  <c r="C26" i="107"/>
  <c r="C12" i="107"/>
  <c r="C13" i="107"/>
  <c r="C15" i="107"/>
  <c r="C16" i="107"/>
  <c r="C17" i="107"/>
  <c r="C18" i="107"/>
  <c r="C24" i="107"/>
  <c r="C29" i="107"/>
  <c r="C31" i="107"/>
  <c r="C32" i="107"/>
  <c r="C33" i="107"/>
  <c r="I45" i="2"/>
  <c r="C34" i="107"/>
  <c r="I46" i="2"/>
  <c r="C36" i="107"/>
  <c r="C37" i="107"/>
  <c r="C38" i="107"/>
  <c r="C40" i="107"/>
  <c r="C50" i="107"/>
  <c r="C51" i="107"/>
  <c r="C52" i="107"/>
  <c r="C53" i="107"/>
  <c r="C54" i="107"/>
  <c r="C55" i="107"/>
  <c r="C57" i="107"/>
  <c r="H64" i="107"/>
  <c r="E40" i="34"/>
  <c r="F40" i="34"/>
  <c r="G40" i="34"/>
  <c r="H40" i="34"/>
  <c r="C25" i="104"/>
  <c r="C12" i="104"/>
  <c r="C13" i="104"/>
  <c r="C15" i="104"/>
  <c r="C17" i="104"/>
  <c r="C23" i="104"/>
  <c r="C26" i="104"/>
  <c r="C30" i="104"/>
  <c r="C32" i="104"/>
  <c r="C33" i="104"/>
  <c r="C34" i="104"/>
  <c r="C38" i="104"/>
  <c r="C39" i="104"/>
  <c r="C41" i="104"/>
  <c r="C42" i="104"/>
  <c r="C46" i="104"/>
  <c r="C56" i="104"/>
  <c r="C57" i="104"/>
  <c r="C58" i="104"/>
  <c r="C59" i="104"/>
  <c r="C60" i="104"/>
  <c r="C61" i="104"/>
  <c r="C63" i="104"/>
  <c r="H70" i="104"/>
  <c r="C12" i="116"/>
  <c r="C13" i="116"/>
  <c r="C15" i="116"/>
  <c r="I11" i="2"/>
  <c r="C16" i="116"/>
  <c r="C17" i="116"/>
  <c r="I23" i="2"/>
  <c r="C23" i="116"/>
  <c r="C25" i="116"/>
  <c r="C29" i="116"/>
  <c r="C31" i="116"/>
  <c r="C32" i="116"/>
  <c r="C33" i="116"/>
  <c r="C34" i="116"/>
  <c r="C35" i="116"/>
  <c r="C37" i="116"/>
  <c r="C38" i="116"/>
  <c r="C48" i="116"/>
  <c r="C49" i="116"/>
  <c r="C50" i="116"/>
  <c r="C51" i="116"/>
  <c r="C53" i="116"/>
  <c r="H60" i="116"/>
  <c r="J20" i="128"/>
  <c r="E41" i="34"/>
  <c r="F41" i="34"/>
  <c r="G41" i="34"/>
  <c r="H41" i="34"/>
  <c r="C29" i="125"/>
  <c r="C12" i="125"/>
  <c r="C13" i="125"/>
  <c r="C17" i="125"/>
  <c r="C18" i="125"/>
  <c r="C20" i="125"/>
  <c r="C21" i="125"/>
  <c r="C22" i="125"/>
  <c r="C24" i="125"/>
  <c r="C33" i="125"/>
  <c r="C35" i="125"/>
  <c r="C36" i="125"/>
  <c r="C39" i="125"/>
  <c r="C40" i="125"/>
  <c r="C41" i="125"/>
  <c r="C42" i="125"/>
  <c r="C44" i="125"/>
  <c r="C46" i="125"/>
  <c r="C58" i="125"/>
  <c r="C59" i="125"/>
  <c r="C60" i="125"/>
  <c r="C61" i="125"/>
  <c r="C62" i="125"/>
  <c r="C64" i="125"/>
  <c r="H71" i="125"/>
  <c r="C12" i="124"/>
  <c r="C13" i="124"/>
  <c r="C17" i="124"/>
  <c r="C18" i="124"/>
  <c r="C20" i="124"/>
  <c r="C21" i="124"/>
  <c r="C22" i="124"/>
  <c r="C24" i="124"/>
  <c r="C27" i="124"/>
  <c r="C32" i="124"/>
  <c r="C34" i="124"/>
  <c r="C35" i="124"/>
  <c r="C38" i="124"/>
  <c r="C39" i="124"/>
  <c r="C40" i="124"/>
  <c r="C41" i="124"/>
  <c r="C53" i="124"/>
  <c r="C54" i="124"/>
  <c r="C55" i="124"/>
  <c r="C56" i="124"/>
  <c r="C58" i="124"/>
  <c r="H65" i="124"/>
  <c r="C12" i="127"/>
  <c r="C13" i="127"/>
  <c r="C15" i="127"/>
  <c r="C16" i="127"/>
  <c r="C17" i="127"/>
  <c r="C19" i="127"/>
  <c r="C22" i="127"/>
  <c r="C27" i="127"/>
  <c r="C29" i="127"/>
  <c r="C30" i="127"/>
  <c r="C33" i="127"/>
  <c r="C34" i="127"/>
  <c r="C35" i="127"/>
  <c r="C36" i="127"/>
  <c r="C47" i="127"/>
  <c r="C48" i="127"/>
  <c r="C49" i="127"/>
  <c r="C50" i="127"/>
  <c r="C51" i="127"/>
  <c r="C53" i="127"/>
  <c r="H60" i="127"/>
  <c r="H64" i="113"/>
  <c r="H62" i="120"/>
  <c r="H65" i="126"/>
  <c r="H68" i="106"/>
  <c r="H61" i="119"/>
  <c r="H67" i="96"/>
  <c r="H63" i="115"/>
  <c r="H61" i="117"/>
  <c r="H65" i="118"/>
  <c r="H64" i="102"/>
  <c r="H67" i="103"/>
  <c r="H75" i="85"/>
  <c r="H62" i="105"/>
  <c r="H67" i="161"/>
  <c r="H60" i="121"/>
  <c r="J8" i="128"/>
  <c r="D161" i="93"/>
  <c r="E161" i="93"/>
  <c r="F161" i="93"/>
  <c r="H161" i="93"/>
  <c r="F25" i="114"/>
  <c r="D162" i="93"/>
  <c r="E162" i="93"/>
  <c r="F162" i="93"/>
  <c r="H162" i="93"/>
  <c r="C41" i="93"/>
  <c r="F29" i="99"/>
  <c r="J13" i="128"/>
  <c r="F29" i="101"/>
  <c r="J15" i="128"/>
  <c r="F29" i="123"/>
  <c r="J16" i="128"/>
  <c r="F25" i="108"/>
  <c r="F24" i="116"/>
  <c r="J21" i="128"/>
  <c r="F29" i="124"/>
  <c r="J22" i="128"/>
  <c r="F24" i="127"/>
  <c r="L35" i="34"/>
  <c r="F8" i="34"/>
  <c r="F28" i="109"/>
  <c r="L36" i="34"/>
  <c r="F9" i="34"/>
  <c r="F29" i="110"/>
  <c r="L37" i="34"/>
  <c r="F29" i="111"/>
  <c r="L38" i="34"/>
  <c r="F29" i="112"/>
  <c r="L39" i="34"/>
  <c r="F25" i="107"/>
  <c r="L40" i="34"/>
  <c r="F24" i="104"/>
  <c r="L41" i="34"/>
  <c r="F28" i="125"/>
  <c r="F14" i="114"/>
  <c r="F19" i="99"/>
  <c r="F19" i="109"/>
  <c r="F19" i="110"/>
  <c r="F19" i="111"/>
  <c r="F19" i="101"/>
  <c r="F19" i="112"/>
  <c r="F19" i="123"/>
  <c r="F14" i="108"/>
  <c r="F14" i="107"/>
  <c r="F14" i="104"/>
  <c r="F14" i="116"/>
  <c r="F19" i="125"/>
  <c r="F19" i="124"/>
  <c r="F14" i="127"/>
  <c r="F24" i="114"/>
  <c r="F28" i="99"/>
  <c r="F30" i="109"/>
  <c r="F31" i="110"/>
  <c r="F31" i="111"/>
  <c r="F28" i="101"/>
  <c r="F31" i="112"/>
  <c r="F28" i="123"/>
  <c r="F24" i="108"/>
  <c r="F21" i="107"/>
  <c r="F20" i="104"/>
  <c r="F20" i="116"/>
  <c r="F28" i="124"/>
  <c r="F23" i="127"/>
  <c r="F43" i="104"/>
  <c r="F44" i="104"/>
  <c r="F45" i="104"/>
  <c r="F19" i="114"/>
  <c r="F23" i="99"/>
  <c r="F23" i="109"/>
  <c r="F24" i="110"/>
  <c r="F24" i="111"/>
  <c r="F23" i="101"/>
  <c r="F24" i="112"/>
  <c r="F23" i="123"/>
  <c r="F19" i="108"/>
  <c r="F20" i="107"/>
  <c r="F19" i="104"/>
  <c r="F19" i="116"/>
  <c r="F23" i="125"/>
  <c r="F23" i="124"/>
  <c r="F18" i="127"/>
  <c r="F54" i="114"/>
  <c r="F57" i="99"/>
  <c r="F62" i="109"/>
  <c r="F63" i="110"/>
  <c r="F62" i="111"/>
  <c r="F57" i="101"/>
  <c r="F62" i="112"/>
  <c r="F58" i="123"/>
  <c r="F54" i="108"/>
  <c r="F56" i="107"/>
  <c r="F62" i="104"/>
  <c r="F52" i="116"/>
  <c r="F63" i="125"/>
  <c r="F57" i="124"/>
  <c r="F52" i="127"/>
  <c r="F33" i="114"/>
  <c r="F37" i="99"/>
  <c r="F38" i="109"/>
  <c r="F39" i="110"/>
  <c r="F39" i="111"/>
  <c r="F37" i="101"/>
  <c r="F39" i="112"/>
  <c r="F14" i="99"/>
  <c r="F14" i="109"/>
  <c r="F14" i="110"/>
  <c r="F14" i="111"/>
  <c r="F14" i="101"/>
  <c r="F14" i="112"/>
  <c r="F14" i="123"/>
  <c r="F14" i="125"/>
  <c r="F14" i="124"/>
  <c r="F27" i="104"/>
  <c r="F26" i="116"/>
  <c r="F43" i="109"/>
  <c r="F44" i="110"/>
  <c r="F44" i="111"/>
  <c r="F44" i="112"/>
  <c r="F43" i="125"/>
  <c r="F177" i="93"/>
  <c r="E177" i="93"/>
  <c r="G177" i="93"/>
  <c r="F178" i="93"/>
  <c r="E178" i="93"/>
  <c r="G178" i="93"/>
  <c r="F179" i="93"/>
  <c r="E179" i="93"/>
  <c r="G179" i="93"/>
  <c r="G180" i="93"/>
  <c r="C54" i="93"/>
  <c r="F38" i="114"/>
  <c r="F45" i="109"/>
  <c r="F46" i="110"/>
  <c r="F46" i="111"/>
  <c r="F46" i="112"/>
  <c r="F38" i="108"/>
  <c r="F39" i="107"/>
  <c r="F40" i="104"/>
  <c r="J19" i="128"/>
  <c r="F36" i="116"/>
  <c r="F45" i="125"/>
  <c r="F29" i="114"/>
  <c r="F33" i="99"/>
  <c r="F34" i="109"/>
  <c r="F35" i="110"/>
  <c r="F35" i="111"/>
  <c r="F33" i="101"/>
  <c r="F35" i="112"/>
  <c r="F33" i="123"/>
  <c r="F29" i="108"/>
  <c r="F30" i="107"/>
  <c r="F31" i="104"/>
  <c r="F30" i="116"/>
  <c r="F34" i="125"/>
  <c r="F33" i="124"/>
  <c r="F28" i="127"/>
  <c r="G223" i="93"/>
  <c r="D223" i="93"/>
  <c r="F223" i="93"/>
  <c r="H223" i="93"/>
  <c r="G224" i="93"/>
  <c r="D224" i="93"/>
  <c r="F224" i="93"/>
  <c r="H224" i="93"/>
  <c r="H225" i="93"/>
  <c r="C68" i="93"/>
  <c r="F45" i="114"/>
  <c r="F48" i="99"/>
  <c r="F48" i="101"/>
  <c r="F48" i="124"/>
  <c r="F52" i="109"/>
  <c r="F48" i="123"/>
  <c r="F53" i="125"/>
  <c r="F47" i="124"/>
  <c r="F46" i="99"/>
  <c r="F46" i="123"/>
  <c r="F51" i="125"/>
  <c r="F41" i="127"/>
  <c r="J35" i="34"/>
  <c r="F29" i="109"/>
  <c r="J37" i="34"/>
  <c r="F30" i="110"/>
  <c r="F30" i="111"/>
  <c r="J38" i="34"/>
  <c r="F30" i="112"/>
  <c r="J39" i="34"/>
  <c r="F26" i="107"/>
  <c r="J40" i="34"/>
  <c r="F25" i="104"/>
  <c r="J41" i="34"/>
  <c r="F29" i="125"/>
  <c r="F19" i="107"/>
  <c r="F18" i="104"/>
  <c r="F18" i="116"/>
  <c r="F35" i="107"/>
  <c r="F36" i="104"/>
  <c r="H138" i="2"/>
  <c r="N189" i="2"/>
  <c r="Q189" i="2"/>
  <c r="O189" i="2"/>
  <c r="S189" i="2"/>
  <c r="T189" i="2"/>
  <c r="V189" i="2"/>
  <c r="H72" i="117"/>
  <c r="H63" i="117"/>
  <c r="H64" i="117"/>
  <c r="H67" i="117"/>
  <c r="H68" i="117"/>
  <c r="H69" i="117"/>
  <c r="H78" i="161"/>
  <c r="H69" i="161"/>
  <c r="H70" i="161"/>
  <c r="H75" i="161"/>
  <c r="H73" i="105"/>
  <c r="H64" i="105"/>
  <c r="H65" i="105"/>
  <c r="H69" i="105"/>
  <c r="H70" i="105"/>
  <c r="H86" i="85"/>
  <c r="H77" i="85"/>
  <c r="H78" i="85"/>
  <c r="H82" i="85"/>
  <c r="H83" i="85"/>
  <c r="H81" i="85"/>
  <c r="H78" i="103"/>
  <c r="H69" i="103"/>
  <c r="H70" i="103"/>
  <c r="H74" i="103"/>
  <c r="H75" i="103"/>
  <c r="H75" i="102"/>
  <c r="H66" i="102"/>
  <c r="H67" i="102"/>
  <c r="H71" i="102"/>
  <c r="H72" i="102"/>
  <c r="H71" i="121"/>
  <c r="H62" i="121"/>
  <c r="H63" i="121"/>
  <c r="H66" i="121"/>
  <c r="H67" i="121"/>
  <c r="H68" i="121"/>
  <c r="H78" i="96"/>
  <c r="H69" i="96"/>
  <c r="H70" i="96"/>
  <c r="H74" i="96"/>
  <c r="H75" i="96"/>
  <c r="H72" i="119"/>
  <c r="H63" i="119"/>
  <c r="H64" i="119"/>
  <c r="H68" i="119"/>
  <c r="H69" i="119"/>
  <c r="H79" i="106"/>
  <c r="H70" i="106"/>
  <c r="H71" i="106"/>
  <c r="H75" i="106"/>
  <c r="H76" i="106"/>
  <c r="H76" i="126"/>
  <c r="H67" i="126"/>
  <c r="H68" i="126"/>
  <c r="H71" i="126"/>
  <c r="H72" i="126"/>
  <c r="H73" i="126"/>
  <c r="H73" i="120"/>
  <c r="H64" i="120"/>
  <c r="H65" i="120"/>
  <c r="H68" i="120"/>
  <c r="H69" i="120"/>
  <c r="H70" i="120"/>
  <c r="H75" i="113"/>
  <c r="H66" i="113"/>
  <c r="H67" i="113"/>
  <c r="H71" i="113"/>
  <c r="H72" i="113"/>
  <c r="C66" i="125"/>
  <c r="F46" i="125"/>
  <c r="F54" i="125"/>
  <c r="F64" i="125"/>
  <c r="F66" i="125"/>
  <c r="H82" i="125"/>
  <c r="H73" i="125"/>
  <c r="H74" i="125"/>
  <c r="H77" i="125"/>
  <c r="H78" i="125"/>
  <c r="H79" i="125"/>
  <c r="C65" i="104"/>
  <c r="F46" i="104"/>
  <c r="F63" i="104"/>
  <c r="F65" i="104"/>
  <c r="H81" i="104"/>
  <c r="H72" i="104"/>
  <c r="H73" i="104"/>
  <c r="H77" i="104"/>
  <c r="H78" i="104"/>
  <c r="C59" i="107"/>
  <c r="F40" i="107"/>
  <c r="F57" i="107"/>
  <c r="F59" i="107"/>
  <c r="H75" i="107"/>
  <c r="H66" i="107"/>
  <c r="H67" i="107"/>
  <c r="H71" i="107"/>
  <c r="H72" i="107"/>
  <c r="C65" i="112"/>
  <c r="F47" i="112"/>
  <c r="F63" i="112"/>
  <c r="F65" i="112"/>
  <c r="H81" i="112"/>
  <c r="H72" i="112"/>
  <c r="H73" i="112"/>
  <c r="H77" i="112"/>
  <c r="H78" i="112"/>
  <c r="C65" i="111"/>
  <c r="F47" i="111"/>
  <c r="F63" i="111"/>
  <c r="F65" i="111"/>
  <c r="H81" i="111"/>
  <c r="H72" i="111"/>
  <c r="H73" i="111"/>
  <c r="H77" i="111"/>
  <c r="H78" i="111"/>
  <c r="C66" i="110"/>
  <c r="F48" i="110"/>
  <c r="F64" i="110"/>
  <c r="F66" i="110"/>
  <c r="H82" i="110"/>
  <c r="H73" i="110"/>
  <c r="H74" i="110"/>
  <c r="H78" i="110"/>
  <c r="H79" i="110"/>
  <c r="C65" i="109"/>
  <c r="F46" i="109"/>
  <c r="F53" i="109"/>
  <c r="F63" i="109"/>
  <c r="F65" i="109"/>
  <c r="H81" i="109"/>
  <c r="H72" i="109"/>
  <c r="H73" i="109"/>
  <c r="H76" i="109"/>
  <c r="H77" i="109"/>
  <c r="H78" i="109"/>
  <c r="H76" i="118"/>
  <c r="H67" i="118"/>
  <c r="H68" i="118"/>
  <c r="H72" i="118"/>
  <c r="H73" i="118"/>
  <c r="H74" i="115"/>
  <c r="H65" i="115"/>
  <c r="H66" i="115"/>
  <c r="H69" i="115"/>
  <c r="H70" i="115"/>
  <c r="H71" i="115"/>
  <c r="F36" i="127"/>
  <c r="F43" i="127"/>
  <c r="F53" i="127"/>
  <c r="F55" i="127"/>
  <c r="C55" i="127"/>
  <c r="H71" i="127"/>
  <c r="H62" i="127"/>
  <c r="H63" i="127"/>
  <c r="H66" i="127"/>
  <c r="H67" i="127"/>
  <c r="H68" i="127"/>
  <c r="F41" i="124"/>
  <c r="F49" i="124"/>
  <c r="F58" i="124"/>
  <c r="F60" i="124"/>
  <c r="C60" i="124"/>
  <c r="H76" i="124"/>
  <c r="H67" i="124"/>
  <c r="H68" i="124"/>
  <c r="H71" i="124"/>
  <c r="H72" i="124"/>
  <c r="H73" i="124"/>
  <c r="F38" i="116"/>
  <c r="F53" i="116"/>
  <c r="F55" i="116"/>
  <c r="C55" i="116"/>
  <c r="H71" i="116"/>
  <c r="H62" i="116"/>
  <c r="H63" i="116"/>
  <c r="H67" i="116"/>
  <c r="H68" i="116"/>
  <c r="F39" i="108"/>
  <c r="F55" i="108"/>
  <c r="F57" i="108"/>
  <c r="C57" i="108"/>
  <c r="H73" i="108"/>
  <c r="H64" i="108"/>
  <c r="H65" i="108"/>
  <c r="H69" i="108"/>
  <c r="H70" i="108"/>
  <c r="F41" i="123"/>
  <c r="F49" i="123"/>
  <c r="F59" i="123"/>
  <c r="F61" i="123"/>
  <c r="C61" i="123"/>
  <c r="H77" i="123"/>
  <c r="H68" i="123"/>
  <c r="H69" i="123"/>
  <c r="H72" i="123"/>
  <c r="H73" i="123"/>
  <c r="H74" i="123"/>
  <c r="F42" i="101"/>
  <c r="F49" i="101"/>
  <c r="F58" i="101"/>
  <c r="F60" i="101"/>
  <c r="C60" i="101"/>
  <c r="H76" i="101"/>
  <c r="H67" i="101"/>
  <c r="H68" i="101"/>
  <c r="H71" i="101"/>
  <c r="H72" i="101"/>
  <c r="H73" i="101"/>
  <c r="F41" i="99"/>
  <c r="F49" i="99"/>
  <c r="F58" i="99"/>
  <c r="F60" i="99"/>
  <c r="C60" i="99"/>
  <c r="D60" i="99"/>
  <c r="E60" i="99"/>
  <c r="H60" i="99"/>
  <c r="H76" i="99"/>
  <c r="H67" i="99"/>
  <c r="H68" i="99"/>
  <c r="H71" i="99"/>
  <c r="H72" i="99"/>
  <c r="H73" i="99"/>
  <c r="F39" i="114"/>
  <c r="F46" i="114"/>
  <c r="F55" i="114"/>
  <c r="F57" i="114"/>
  <c r="C57" i="114"/>
  <c r="D57" i="114"/>
  <c r="E57" i="114"/>
  <c r="H57" i="114"/>
  <c r="H73" i="114"/>
  <c r="H64" i="114"/>
  <c r="H65" i="114"/>
  <c r="H68" i="114"/>
  <c r="H69" i="114"/>
  <c r="H70" i="114"/>
  <c r="D171" i="93"/>
  <c r="D170" i="93"/>
  <c r="D169" i="93"/>
  <c r="D166" i="93"/>
  <c r="F98" i="93"/>
  <c r="F97" i="93"/>
  <c r="E4" i="161"/>
  <c r="E4" i="105"/>
  <c r="E4" i="85"/>
  <c r="E4" i="103"/>
  <c r="E4" i="102"/>
  <c r="E4" i="121"/>
  <c r="E4" i="118"/>
  <c r="E4" i="117"/>
  <c r="E4" i="115"/>
  <c r="E4" i="96"/>
  <c r="E4" i="119"/>
  <c r="E4" i="106"/>
  <c r="E4" i="126"/>
  <c r="E4" i="120"/>
  <c r="E4" i="113"/>
  <c r="E4" i="127"/>
  <c r="E4" i="124"/>
  <c r="E4" i="125"/>
  <c r="E4" i="116"/>
  <c r="E4" i="104"/>
  <c r="E4" i="107"/>
  <c r="E4" i="108"/>
  <c r="E4" i="123"/>
  <c r="E4" i="112"/>
  <c r="E4" i="101"/>
  <c r="E4" i="111"/>
  <c r="E4" i="110"/>
  <c r="E4" i="109"/>
  <c r="E4" i="99"/>
  <c r="E4" i="114"/>
  <c r="D10" i="178"/>
  <c r="D11" i="178"/>
  <c r="D12" i="178"/>
  <c r="D13" i="178"/>
  <c r="D14" i="178"/>
  <c r="D15" i="178"/>
  <c r="D16" i="178"/>
  <c r="D17" i="178"/>
  <c r="D18" i="178"/>
  <c r="D19" i="178"/>
  <c r="D20" i="178"/>
  <c r="D21" i="178"/>
  <c r="D22" i="178"/>
  <c r="D23" i="178"/>
  <c r="D9" i="178"/>
  <c r="K9" i="128"/>
  <c r="K10" i="128"/>
  <c r="K11" i="128"/>
  <c r="K12" i="128"/>
  <c r="K13" i="128"/>
  <c r="K14" i="128"/>
  <c r="K15" i="128"/>
  <c r="K16" i="128"/>
  <c r="K17" i="128"/>
  <c r="K18" i="128"/>
  <c r="K19" i="128"/>
  <c r="K20" i="128"/>
  <c r="K21" i="128"/>
  <c r="K22" i="128"/>
  <c r="K23" i="128"/>
  <c r="K24" i="128"/>
  <c r="K25" i="128"/>
  <c r="K26" i="128"/>
  <c r="K27" i="128"/>
  <c r="K28" i="128"/>
  <c r="K29" i="128"/>
  <c r="K30" i="128"/>
  <c r="K31" i="128"/>
  <c r="K32" i="128"/>
  <c r="K33" i="128"/>
  <c r="K34" i="128"/>
  <c r="K35" i="128"/>
  <c r="K36" i="128"/>
  <c r="K8" i="128"/>
  <c r="M9" i="128"/>
  <c r="M10" i="128"/>
  <c r="M11" i="128"/>
  <c r="M12" i="128"/>
  <c r="M13" i="128"/>
  <c r="M14" i="128"/>
  <c r="M15" i="128"/>
  <c r="M16" i="128"/>
  <c r="M17" i="128"/>
  <c r="M18" i="128"/>
  <c r="M19" i="128"/>
  <c r="M20" i="128"/>
  <c r="M21" i="128"/>
  <c r="M22" i="128"/>
  <c r="M23" i="128"/>
  <c r="M24" i="128"/>
  <c r="M25" i="128"/>
  <c r="M26" i="128"/>
  <c r="M27" i="128"/>
  <c r="M28" i="128"/>
  <c r="M29" i="128"/>
  <c r="M30" i="128"/>
  <c r="M31" i="128"/>
  <c r="M32" i="128"/>
  <c r="M33" i="128"/>
  <c r="M34" i="128"/>
  <c r="M35" i="128"/>
  <c r="M36" i="128"/>
  <c r="M37" i="128"/>
  <c r="M8" i="128"/>
  <c r="G15" i="175"/>
  <c r="G16" i="175"/>
  <c r="G17" i="175"/>
  <c r="G18" i="175"/>
  <c r="G19" i="175"/>
  <c r="G20" i="175"/>
  <c r="G21" i="175"/>
  <c r="G8" i="175"/>
  <c r="G9" i="175"/>
  <c r="G10" i="175"/>
  <c r="G11" i="175"/>
  <c r="G12" i="175"/>
  <c r="G13" i="175"/>
  <c r="G14" i="175"/>
  <c r="G7" i="175"/>
  <c r="D62" i="179"/>
  <c r="F7" i="175"/>
  <c r="E62" i="179"/>
  <c r="F8" i="175"/>
  <c r="F62" i="179"/>
  <c r="F9" i="175"/>
  <c r="G62" i="179"/>
  <c r="F10" i="175"/>
  <c r="H62" i="179"/>
  <c r="F11" i="175"/>
  <c r="I62" i="179"/>
  <c r="F12" i="175"/>
  <c r="J62" i="179"/>
  <c r="F13" i="175"/>
  <c r="K62" i="179"/>
  <c r="F14" i="175"/>
  <c r="L62" i="179"/>
  <c r="F15" i="175"/>
  <c r="M62" i="179"/>
  <c r="F16" i="175"/>
  <c r="N62" i="179"/>
  <c r="F17" i="175"/>
  <c r="O62" i="179"/>
  <c r="F18" i="175"/>
  <c r="P62" i="179"/>
  <c r="F19" i="175"/>
  <c r="Q62" i="179"/>
  <c r="F20" i="175"/>
  <c r="R62" i="179"/>
  <c r="F21" i="175"/>
  <c r="D58" i="179"/>
  <c r="E58" i="179"/>
  <c r="F58" i="179"/>
  <c r="G58" i="179"/>
  <c r="H58" i="179"/>
  <c r="I58" i="179"/>
  <c r="J58" i="179"/>
  <c r="K58" i="179"/>
  <c r="L58" i="179"/>
  <c r="M58" i="179"/>
  <c r="N58" i="179"/>
  <c r="O58" i="179"/>
  <c r="P58" i="179"/>
  <c r="Q58" i="179"/>
  <c r="R58" i="179"/>
  <c r="S58" i="179"/>
  <c r="T58" i="179"/>
  <c r="U58" i="179"/>
  <c r="V58" i="179"/>
  <c r="W58" i="179"/>
  <c r="X58" i="179"/>
  <c r="Y58" i="179"/>
  <c r="Z58" i="179"/>
  <c r="AA58" i="179"/>
  <c r="AB58" i="179"/>
  <c r="AC58" i="179"/>
  <c r="AD58" i="179"/>
  <c r="AE58" i="179"/>
  <c r="AF58" i="179"/>
  <c r="D48" i="179"/>
  <c r="E48" i="179"/>
  <c r="F48" i="179"/>
  <c r="G48" i="179"/>
  <c r="H48" i="179"/>
  <c r="I48" i="179"/>
  <c r="J48" i="179"/>
  <c r="K48" i="179"/>
  <c r="L48" i="179"/>
  <c r="M48" i="179"/>
  <c r="N48" i="179"/>
  <c r="O48" i="179"/>
  <c r="P48" i="179"/>
  <c r="Q48" i="179"/>
  <c r="R48" i="179"/>
  <c r="S48" i="179"/>
  <c r="T48" i="179"/>
  <c r="U48" i="179"/>
  <c r="V48" i="179"/>
  <c r="W48" i="179"/>
  <c r="X48" i="179"/>
  <c r="Y48" i="179"/>
  <c r="Z48" i="179"/>
  <c r="AA48" i="179"/>
  <c r="AB48" i="179"/>
  <c r="AC48" i="179"/>
  <c r="AD48" i="179"/>
  <c r="AE48" i="179"/>
  <c r="AF48" i="179"/>
  <c r="AG48" i="179"/>
  <c r="F25" i="179"/>
  <c r="D35" i="179"/>
  <c r="E35" i="179"/>
  <c r="F35" i="179"/>
  <c r="G35" i="179"/>
  <c r="H35" i="179"/>
  <c r="I35" i="179"/>
  <c r="J35" i="179"/>
  <c r="K35" i="179"/>
  <c r="L35" i="179"/>
  <c r="M35" i="179"/>
  <c r="N35" i="179"/>
  <c r="O35" i="179"/>
  <c r="P35" i="179"/>
  <c r="Q35" i="179"/>
  <c r="R35" i="179"/>
  <c r="S35" i="179"/>
  <c r="T35" i="179"/>
  <c r="U35" i="179"/>
  <c r="V35" i="179"/>
  <c r="W35" i="179"/>
  <c r="X35" i="179"/>
  <c r="Y35" i="179"/>
  <c r="Z35" i="179"/>
  <c r="AA35" i="179"/>
  <c r="AB35" i="179"/>
  <c r="AC35" i="179"/>
  <c r="AD35" i="179"/>
  <c r="AE35" i="179"/>
  <c r="AF35" i="179"/>
  <c r="AG35" i="179"/>
  <c r="J7" i="175"/>
  <c r="J8" i="175"/>
  <c r="J9" i="175"/>
  <c r="J10" i="175"/>
  <c r="J11" i="175"/>
  <c r="J12" i="175"/>
  <c r="J13" i="175"/>
  <c r="J14" i="175"/>
  <c r="J15" i="175"/>
  <c r="J16" i="175"/>
  <c r="J17" i="175"/>
  <c r="J18" i="175"/>
  <c r="J19" i="175"/>
  <c r="J20" i="175"/>
  <c r="J21" i="175"/>
  <c r="B26" i="179"/>
  <c r="K7" i="175"/>
  <c r="K8" i="175"/>
  <c r="K9" i="175"/>
  <c r="K10" i="175"/>
  <c r="K11" i="175"/>
  <c r="K12" i="175"/>
  <c r="K13" i="175"/>
  <c r="K14" i="175"/>
  <c r="K15" i="175"/>
  <c r="K16" i="175"/>
  <c r="K17" i="175"/>
  <c r="K18" i="175"/>
  <c r="K19" i="175"/>
  <c r="K20" i="175"/>
  <c r="K21" i="175"/>
  <c r="K37" i="175"/>
  <c r="J37" i="175"/>
  <c r="G37" i="175"/>
  <c r="F37" i="175"/>
  <c r="C7" i="175"/>
  <c r="C8" i="175"/>
  <c r="C9" i="175"/>
  <c r="C10" i="175"/>
  <c r="C11" i="175"/>
  <c r="C12" i="175"/>
  <c r="C13" i="175"/>
  <c r="C14" i="175"/>
  <c r="C15" i="175"/>
  <c r="C16" i="175"/>
  <c r="C17" i="175"/>
  <c r="C18" i="175"/>
  <c r="C19" i="175"/>
  <c r="C20" i="175"/>
  <c r="C21" i="175"/>
  <c r="C37" i="175"/>
  <c r="P129" i="2"/>
  <c r="P97" i="2"/>
  <c r="D68" i="93"/>
  <c r="B83" i="93"/>
  <c r="B82" i="93"/>
  <c r="E98" i="93"/>
  <c r="G98" i="93"/>
  <c r="B98" i="93"/>
  <c r="B99" i="93"/>
  <c r="B100" i="93"/>
  <c r="AG60" i="179"/>
  <c r="AF60" i="179"/>
  <c r="AE60" i="179"/>
  <c r="AD60" i="179"/>
  <c r="AC60" i="179"/>
  <c r="AB60" i="179"/>
  <c r="AA60" i="179"/>
  <c r="Z60" i="179"/>
  <c r="Y60" i="179"/>
  <c r="X60" i="179"/>
  <c r="W60" i="179"/>
  <c r="V60" i="179"/>
  <c r="U60" i="179"/>
  <c r="T60" i="179"/>
  <c r="S60" i="179"/>
  <c r="R60" i="179"/>
  <c r="Q60" i="179"/>
  <c r="P60" i="179"/>
  <c r="O60" i="179"/>
  <c r="N60" i="179"/>
  <c r="M60" i="179"/>
  <c r="L60" i="179"/>
  <c r="K60" i="179"/>
  <c r="J60" i="179"/>
  <c r="I60" i="179"/>
  <c r="H60" i="179"/>
  <c r="G60" i="179"/>
  <c r="F60" i="179"/>
  <c r="E60" i="179"/>
  <c r="D60" i="179"/>
  <c r="AG58" i="179"/>
  <c r="AG57" i="179"/>
  <c r="AF57" i="179"/>
  <c r="AE57" i="179"/>
  <c r="AD57" i="179"/>
  <c r="AC57" i="179"/>
  <c r="AB57" i="179"/>
  <c r="AA57" i="179"/>
  <c r="Z57" i="179"/>
  <c r="Y57" i="179"/>
  <c r="X57" i="179"/>
  <c r="W57" i="179"/>
  <c r="V57" i="179"/>
  <c r="U57" i="179"/>
  <c r="T57" i="179"/>
  <c r="S57" i="179"/>
  <c r="R57" i="179"/>
  <c r="Q57" i="179"/>
  <c r="P57" i="179"/>
  <c r="O57" i="179"/>
  <c r="N57" i="179"/>
  <c r="M57" i="179"/>
  <c r="L57" i="179"/>
  <c r="K57" i="179"/>
  <c r="J57" i="179"/>
  <c r="I57" i="179"/>
  <c r="H57" i="179"/>
  <c r="G57" i="179"/>
  <c r="F57" i="179"/>
  <c r="E57" i="179"/>
  <c r="D57" i="179"/>
  <c r="AG54" i="179"/>
  <c r="AF54" i="179"/>
  <c r="AE54" i="179"/>
  <c r="AD54" i="179"/>
  <c r="AC54" i="179"/>
  <c r="AB54" i="179"/>
  <c r="AA54" i="179"/>
  <c r="Z54" i="179"/>
  <c r="Y54" i="179"/>
  <c r="X54" i="179"/>
  <c r="W54" i="179"/>
  <c r="V54" i="179"/>
  <c r="U54" i="179"/>
  <c r="T54" i="179"/>
  <c r="S54" i="179"/>
  <c r="R54" i="179"/>
  <c r="Q54" i="179"/>
  <c r="P54" i="179"/>
  <c r="O54" i="179"/>
  <c r="N54" i="179"/>
  <c r="M54" i="179"/>
  <c r="L54" i="179"/>
  <c r="K54" i="179"/>
  <c r="J54" i="179"/>
  <c r="I54" i="179"/>
  <c r="H54" i="179"/>
  <c r="G54" i="179"/>
  <c r="F54" i="179"/>
  <c r="E54" i="179"/>
  <c r="D54" i="179"/>
  <c r="AG52" i="179"/>
  <c r="AF52" i="179"/>
  <c r="AE52" i="179"/>
  <c r="AD52" i="179"/>
  <c r="AC52" i="179"/>
  <c r="AB52" i="179"/>
  <c r="AA52" i="179"/>
  <c r="Z52" i="179"/>
  <c r="Y52" i="179"/>
  <c r="X52" i="179"/>
  <c r="W52" i="179"/>
  <c r="V52" i="179"/>
  <c r="U52" i="179"/>
  <c r="T52" i="179"/>
  <c r="S52" i="179"/>
  <c r="R52" i="179"/>
  <c r="Q52" i="179"/>
  <c r="P52" i="179"/>
  <c r="O52" i="179"/>
  <c r="N52" i="179"/>
  <c r="M52" i="179"/>
  <c r="L52" i="179"/>
  <c r="K52" i="179"/>
  <c r="J52" i="179"/>
  <c r="I52" i="179"/>
  <c r="H52" i="179"/>
  <c r="G52" i="179"/>
  <c r="F52" i="179"/>
  <c r="E52" i="179"/>
  <c r="D52" i="179"/>
  <c r="AG50" i="179"/>
  <c r="AF50" i="179"/>
  <c r="AE50" i="179"/>
  <c r="AD50" i="179"/>
  <c r="AC50" i="179"/>
  <c r="AB50" i="179"/>
  <c r="AA50" i="179"/>
  <c r="Z50" i="179"/>
  <c r="Y50" i="179"/>
  <c r="X50" i="179"/>
  <c r="W50" i="179"/>
  <c r="V50" i="179"/>
  <c r="U50" i="179"/>
  <c r="T50" i="179"/>
  <c r="S50" i="179"/>
  <c r="R50" i="179"/>
  <c r="Q50" i="179"/>
  <c r="P50" i="179"/>
  <c r="O50" i="179"/>
  <c r="N50" i="179"/>
  <c r="M50" i="179"/>
  <c r="L50" i="179"/>
  <c r="K50" i="179"/>
  <c r="J50" i="179"/>
  <c r="I50" i="179"/>
  <c r="H50" i="179"/>
  <c r="G50" i="179"/>
  <c r="F50" i="179"/>
  <c r="E50" i="179"/>
  <c r="D50" i="179"/>
  <c r="AG49" i="179"/>
  <c r="AF49" i="179"/>
  <c r="AE49" i="179"/>
  <c r="AD49" i="179"/>
  <c r="AC49" i="179"/>
  <c r="AB49" i="179"/>
  <c r="AA49" i="179"/>
  <c r="Z49" i="179"/>
  <c r="Y49" i="179"/>
  <c r="X49" i="179"/>
  <c r="W49" i="179"/>
  <c r="V49" i="179"/>
  <c r="U49" i="179"/>
  <c r="T49" i="179"/>
  <c r="S49" i="179"/>
  <c r="R49" i="179"/>
  <c r="Q49" i="179"/>
  <c r="P49" i="179"/>
  <c r="O49" i="179"/>
  <c r="N49" i="179"/>
  <c r="M49" i="179"/>
  <c r="L49" i="179"/>
  <c r="K49" i="179"/>
  <c r="J49" i="179"/>
  <c r="I49" i="179"/>
  <c r="H49" i="179"/>
  <c r="G49" i="179"/>
  <c r="F49" i="179"/>
  <c r="E49" i="179"/>
  <c r="D49" i="179"/>
  <c r="AB47" i="179"/>
  <c r="AA47" i="179"/>
  <c r="T47" i="179"/>
  <c r="R47" i="179"/>
  <c r="P47" i="179"/>
  <c r="K47" i="179"/>
  <c r="E47" i="179"/>
  <c r="B47" i="179"/>
  <c r="AE46" i="179"/>
  <c r="B46" i="179"/>
  <c r="Z45" i="179"/>
  <c r="Y45" i="179"/>
  <c r="B45" i="179"/>
  <c r="Q44" i="179"/>
  <c r="I44" i="179"/>
  <c r="E44" i="179"/>
  <c r="D44" i="179"/>
  <c r="B44" i="179"/>
  <c r="U43" i="179"/>
  <c r="Q43" i="179"/>
  <c r="P43" i="179"/>
  <c r="K43" i="179"/>
  <c r="F43" i="179"/>
  <c r="B67" i="93"/>
  <c r="B43" i="179"/>
  <c r="AG39" i="179"/>
  <c r="AF39" i="179"/>
  <c r="AE39" i="179"/>
  <c r="AD39" i="179"/>
  <c r="AC39" i="179"/>
  <c r="AB39" i="179"/>
  <c r="AA39" i="179"/>
  <c r="Z39" i="179"/>
  <c r="Y39" i="179"/>
  <c r="X39" i="179"/>
  <c r="W39" i="179"/>
  <c r="V39" i="179"/>
  <c r="U39" i="179"/>
  <c r="T39" i="179"/>
  <c r="S39" i="179"/>
  <c r="R39" i="179"/>
  <c r="Q39" i="179"/>
  <c r="P39" i="179"/>
  <c r="O39" i="179"/>
  <c r="N39" i="179"/>
  <c r="M39" i="179"/>
  <c r="L39" i="179"/>
  <c r="K39" i="179"/>
  <c r="J39" i="179"/>
  <c r="I39" i="179"/>
  <c r="H39" i="179"/>
  <c r="G39" i="179"/>
  <c r="F39" i="179"/>
  <c r="E39" i="179"/>
  <c r="D39" i="179"/>
  <c r="AG37" i="179"/>
  <c r="AF37" i="179"/>
  <c r="AE37" i="179"/>
  <c r="AD37" i="179"/>
  <c r="AC37" i="179"/>
  <c r="AB37" i="179"/>
  <c r="AA37" i="179"/>
  <c r="Z37" i="179"/>
  <c r="Y37" i="179"/>
  <c r="X37" i="179"/>
  <c r="W37" i="179"/>
  <c r="V37" i="179"/>
  <c r="U37" i="179"/>
  <c r="T37" i="179"/>
  <c r="S37" i="179"/>
  <c r="R37" i="179"/>
  <c r="Q37" i="179"/>
  <c r="P37" i="179"/>
  <c r="O37" i="179"/>
  <c r="N37" i="179"/>
  <c r="M37" i="179"/>
  <c r="L37" i="179"/>
  <c r="K37" i="179"/>
  <c r="J37" i="179"/>
  <c r="I37" i="179"/>
  <c r="H37" i="179"/>
  <c r="G37" i="179"/>
  <c r="F37" i="179"/>
  <c r="E37" i="179"/>
  <c r="D37" i="179"/>
  <c r="AG36" i="179"/>
  <c r="AF36" i="179"/>
  <c r="AE36" i="179"/>
  <c r="AD36" i="179"/>
  <c r="AC36" i="179"/>
  <c r="AB36" i="179"/>
  <c r="AA36" i="179"/>
  <c r="Z36" i="179"/>
  <c r="Y36" i="179"/>
  <c r="X36" i="179"/>
  <c r="W36" i="179"/>
  <c r="V36" i="179"/>
  <c r="U36" i="179"/>
  <c r="T36" i="179"/>
  <c r="S36" i="179"/>
  <c r="R36" i="179"/>
  <c r="Q36" i="179"/>
  <c r="P36" i="179"/>
  <c r="O36" i="179"/>
  <c r="N36" i="179"/>
  <c r="M36" i="179"/>
  <c r="L36" i="179"/>
  <c r="K36" i="179"/>
  <c r="J36" i="179"/>
  <c r="I36" i="179"/>
  <c r="H36" i="179"/>
  <c r="G36" i="179"/>
  <c r="F36" i="179"/>
  <c r="E36" i="179"/>
  <c r="D36" i="179"/>
  <c r="AG34" i="179"/>
  <c r="AE34" i="179"/>
  <c r="B34" i="179"/>
  <c r="AG33" i="179"/>
  <c r="AE33" i="179"/>
  <c r="B33" i="179"/>
  <c r="AA32" i="179"/>
  <c r="B32" i="179"/>
  <c r="AD31" i="179"/>
  <c r="AC31" i="179"/>
  <c r="V31" i="179"/>
  <c r="N31" i="179"/>
  <c r="M31" i="179"/>
  <c r="AG29" i="179"/>
  <c r="AF29" i="179"/>
  <c r="AE29" i="179"/>
  <c r="AD29" i="179"/>
  <c r="AC29" i="179"/>
  <c r="AB29" i="179"/>
  <c r="AA29" i="179"/>
  <c r="Z29" i="179"/>
  <c r="Y29" i="179"/>
  <c r="X29" i="179"/>
  <c r="W29" i="179"/>
  <c r="V29" i="179"/>
  <c r="U29" i="179"/>
  <c r="T29" i="179"/>
  <c r="S29" i="179"/>
  <c r="R29" i="179"/>
  <c r="Q29" i="179"/>
  <c r="P29" i="179"/>
  <c r="O29" i="179"/>
  <c r="N29" i="179"/>
  <c r="M29" i="179"/>
  <c r="L29" i="179"/>
  <c r="K29" i="179"/>
  <c r="J29" i="179"/>
  <c r="I29" i="179"/>
  <c r="H29" i="179"/>
  <c r="G29" i="179"/>
  <c r="F29" i="179"/>
  <c r="E29" i="179"/>
  <c r="D29" i="179"/>
  <c r="AF28" i="179"/>
  <c r="AE28" i="179"/>
  <c r="AD28" i="179"/>
  <c r="AC28" i="179"/>
  <c r="Y28" i="179"/>
  <c r="X28" i="179"/>
  <c r="W28" i="179"/>
  <c r="V28" i="179"/>
  <c r="T28" i="179"/>
  <c r="P28" i="179"/>
  <c r="O28" i="179"/>
  <c r="N28" i="179"/>
  <c r="M28" i="179"/>
  <c r="L28" i="179"/>
  <c r="J28" i="179"/>
  <c r="H28" i="179"/>
  <c r="G28" i="179"/>
  <c r="F28" i="179"/>
  <c r="D28" i="179"/>
  <c r="P27" i="179"/>
  <c r="J27" i="179"/>
  <c r="H27" i="179"/>
  <c r="G27" i="179"/>
  <c r="F27" i="179"/>
  <c r="B27" i="179"/>
  <c r="AG26" i="179"/>
  <c r="AE26" i="179"/>
  <c r="X26" i="179"/>
  <c r="O26" i="179"/>
  <c r="N26" i="179"/>
  <c r="AB25" i="179"/>
  <c r="AA25" i="179"/>
  <c r="Y25" i="179"/>
  <c r="W25" i="179"/>
  <c r="U25" i="179"/>
  <c r="T25" i="179"/>
  <c r="S25" i="179"/>
  <c r="R25" i="179"/>
  <c r="Q25" i="179"/>
  <c r="P25" i="179"/>
  <c r="L25" i="179"/>
  <c r="K25" i="179"/>
  <c r="J25" i="179"/>
  <c r="I25" i="179"/>
  <c r="H25" i="179"/>
  <c r="G25" i="179"/>
  <c r="E25" i="179"/>
  <c r="D25" i="179"/>
  <c r="B25" i="179"/>
  <c r="AA24" i="179"/>
  <c r="U24" i="179"/>
  <c r="S24" i="179"/>
  <c r="Q24" i="179"/>
  <c r="P24" i="179"/>
  <c r="K24" i="179"/>
  <c r="J24" i="179"/>
  <c r="I24" i="179"/>
  <c r="H24" i="179"/>
  <c r="G24" i="179"/>
  <c r="F24" i="179"/>
  <c r="E24" i="179"/>
  <c r="B24" i="179"/>
  <c r="AG23" i="179"/>
  <c r="AF23" i="179"/>
  <c r="AE23" i="179"/>
  <c r="AD23" i="179"/>
  <c r="AC23" i="179"/>
  <c r="AB23" i="179"/>
  <c r="AA23" i="179"/>
  <c r="Z23" i="179"/>
  <c r="Y23" i="179"/>
  <c r="X23" i="179"/>
  <c r="W23" i="179"/>
  <c r="V23" i="179"/>
  <c r="U23" i="179"/>
  <c r="T23" i="179"/>
  <c r="S23" i="179"/>
  <c r="R23" i="179"/>
  <c r="Q23" i="179"/>
  <c r="P23" i="179"/>
  <c r="O23" i="179"/>
  <c r="N23" i="179"/>
  <c r="M23" i="179"/>
  <c r="L23" i="179"/>
  <c r="K23" i="179"/>
  <c r="J23" i="179"/>
  <c r="I23" i="179"/>
  <c r="H23" i="179"/>
  <c r="G23" i="179"/>
  <c r="F23" i="179"/>
  <c r="E23" i="179"/>
  <c r="D23" i="179"/>
  <c r="B23" i="179"/>
  <c r="AG21" i="179"/>
  <c r="AF21" i="179"/>
  <c r="AE21" i="179"/>
  <c r="AD21" i="179"/>
  <c r="AC21" i="179"/>
  <c r="AB21" i="179"/>
  <c r="AA21" i="179"/>
  <c r="Z21" i="179"/>
  <c r="Y21" i="179"/>
  <c r="X21" i="179"/>
  <c r="W21" i="179"/>
  <c r="V21" i="179"/>
  <c r="U21" i="179"/>
  <c r="T21" i="179"/>
  <c r="S21" i="179"/>
  <c r="R21" i="179"/>
  <c r="Q21" i="179"/>
  <c r="P21" i="179"/>
  <c r="O21" i="179"/>
  <c r="N21" i="179"/>
  <c r="M21" i="179"/>
  <c r="L21" i="179"/>
  <c r="K21" i="179"/>
  <c r="J21" i="179"/>
  <c r="I21" i="179"/>
  <c r="H21" i="179"/>
  <c r="G21" i="179"/>
  <c r="F21" i="179"/>
  <c r="E21" i="179"/>
  <c r="D21" i="179"/>
  <c r="AG20" i="179"/>
  <c r="AF20" i="179"/>
  <c r="AE20" i="179"/>
  <c r="AD20" i="179"/>
  <c r="AC20" i="179"/>
  <c r="Z20" i="179"/>
  <c r="X20" i="179"/>
  <c r="V20" i="179"/>
  <c r="O20" i="179"/>
  <c r="N20" i="179"/>
  <c r="M20" i="179"/>
  <c r="AE18" i="179"/>
  <c r="AD18" i="179"/>
  <c r="Z18" i="179"/>
  <c r="Y18" i="179"/>
  <c r="X18" i="179"/>
  <c r="V18" i="179"/>
  <c r="N18" i="179"/>
  <c r="B18" i="179"/>
  <c r="AE17" i="179"/>
  <c r="AD17" i="179"/>
  <c r="Y17" i="179"/>
  <c r="X17" i="179"/>
  <c r="V17" i="179"/>
  <c r="N17" i="179"/>
  <c r="B17" i="179"/>
  <c r="AE16" i="179"/>
  <c r="Z16" i="179"/>
  <c r="Y16" i="179"/>
  <c r="X16" i="179"/>
  <c r="N16" i="179"/>
  <c r="B16" i="179"/>
  <c r="AG15" i="179"/>
  <c r="AF15" i="179"/>
  <c r="AE15" i="179"/>
  <c r="AD15" i="179"/>
  <c r="AC15" i="179"/>
  <c r="AB15" i="179"/>
  <c r="AA15" i="179"/>
  <c r="Z15" i="179"/>
  <c r="Y15" i="179"/>
  <c r="X15" i="179"/>
  <c r="W15" i="179"/>
  <c r="V15" i="179"/>
  <c r="U15" i="179"/>
  <c r="T15" i="179"/>
  <c r="S15" i="179"/>
  <c r="R15" i="179"/>
  <c r="Q15" i="179"/>
  <c r="P15" i="179"/>
  <c r="O15" i="179"/>
  <c r="N15" i="179"/>
  <c r="M15" i="179"/>
  <c r="L15" i="179"/>
  <c r="K15" i="179"/>
  <c r="J15" i="179"/>
  <c r="I15" i="179"/>
  <c r="H15" i="179"/>
  <c r="G15" i="179"/>
  <c r="F15" i="179"/>
  <c r="E15" i="179"/>
  <c r="D15" i="179"/>
  <c r="AG14" i="179"/>
  <c r="AF14" i="179"/>
  <c r="AE14" i="179"/>
  <c r="AD14" i="179"/>
  <c r="AC14" i="179"/>
  <c r="AB14" i="179"/>
  <c r="AA14" i="179"/>
  <c r="Z14" i="179"/>
  <c r="Y14" i="179"/>
  <c r="X14" i="179"/>
  <c r="W14" i="179"/>
  <c r="V14" i="179"/>
  <c r="U14" i="179"/>
  <c r="T14" i="179"/>
  <c r="S14" i="179"/>
  <c r="R14" i="179"/>
  <c r="Q14" i="179"/>
  <c r="P14" i="179"/>
  <c r="O14" i="179"/>
  <c r="N14" i="179"/>
  <c r="M14" i="179"/>
  <c r="L14" i="179"/>
  <c r="K14" i="179"/>
  <c r="J14" i="179"/>
  <c r="I14" i="179"/>
  <c r="H14" i="179"/>
  <c r="G14" i="179"/>
  <c r="F14" i="179"/>
  <c r="E14" i="179"/>
  <c r="D14" i="179"/>
  <c r="AG12" i="179"/>
  <c r="AF12" i="179"/>
  <c r="AE12" i="179"/>
  <c r="AD12" i="179"/>
  <c r="AC12" i="179"/>
  <c r="AB12" i="179"/>
  <c r="Z12" i="179"/>
  <c r="X12" i="179"/>
  <c r="W12" i="179"/>
  <c r="V12" i="179"/>
  <c r="U12" i="179"/>
  <c r="T12" i="179"/>
  <c r="S12" i="179"/>
  <c r="P12" i="179"/>
  <c r="N12" i="179"/>
  <c r="M12" i="179"/>
  <c r="J12" i="179"/>
  <c r="H12" i="179"/>
  <c r="G12" i="179"/>
  <c r="F12" i="179"/>
  <c r="AG11" i="179"/>
  <c r="AF11" i="179"/>
  <c r="AE11" i="179"/>
  <c r="AD11" i="179"/>
  <c r="AC11" i="179"/>
  <c r="AB11" i="179"/>
  <c r="X11" i="179"/>
  <c r="W11" i="179"/>
  <c r="V11" i="179"/>
  <c r="U11" i="179"/>
  <c r="T11" i="179"/>
  <c r="S11" i="179"/>
  <c r="P11" i="179"/>
  <c r="N11" i="179"/>
  <c r="M11" i="179"/>
  <c r="J11" i="179"/>
  <c r="H11" i="179"/>
  <c r="G11" i="179"/>
  <c r="F11" i="179"/>
  <c r="AA10" i="179"/>
  <c r="Y10" i="179"/>
  <c r="R10" i="179"/>
  <c r="Q10" i="179"/>
  <c r="O10" i="179"/>
  <c r="L10" i="179"/>
  <c r="K10" i="179"/>
  <c r="I10" i="179"/>
  <c r="E10" i="179"/>
  <c r="D10" i="179"/>
  <c r="D83" i="34"/>
  <c r="C65" i="34"/>
  <c r="C68" i="34"/>
  <c r="D65" i="34"/>
  <c r="D68" i="34"/>
  <c r="D93" i="34"/>
  <c r="D73" i="34"/>
  <c r="D127" i="34"/>
  <c r="F127" i="34"/>
  <c r="K35" i="34"/>
  <c r="D128" i="34"/>
  <c r="F128" i="34"/>
  <c r="K36" i="34"/>
  <c r="D129" i="34"/>
  <c r="F129" i="34"/>
  <c r="K37" i="34"/>
  <c r="D130" i="34"/>
  <c r="F130" i="34"/>
  <c r="K38" i="34"/>
  <c r="E131" i="34"/>
  <c r="D131" i="34"/>
  <c r="F131" i="34"/>
  <c r="K39" i="34"/>
  <c r="E132" i="34"/>
  <c r="D132" i="34"/>
  <c r="F132" i="34"/>
  <c r="K40" i="34"/>
  <c r="E133" i="34"/>
  <c r="D133" i="34"/>
  <c r="F133" i="34"/>
  <c r="K41" i="34"/>
  <c r="E134" i="34"/>
  <c r="D134" i="34"/>
  <c r="F134" i="34"/>
  <c r="K42" i="34"/>
  <c r="E135" i="34"/>
  <c r="D135" i="34"/>
  <c r="F135" i="34"/>
  <c r="K43" i="34"/>
  <c r="E136" i="34"/>
  <c r="D136" i="34"/>
  <c r="F136" i="34"/>
  <c r="K44" i="34"/>
  <c r="E137" i="34"/>
  <c r="D137" i="34"/>
  <c r="F137" i="34"/>
  <c r="K45" i="34"/>
  <c r="E138" i="34"/>
  <c r="D138" i="34"/>
  <c r="F138" i="34"/>
  <c r="K46" i="34"/>
  <c r="E139" i="34"/>
  <c r="D139" i="34"/>
  <c r="F139" i="34"/>
  <c r="K47" i="34"/>
  <c r="D140" i="34"/>
  <c r="F140" i="34"/>
  <c r="K48" i="34"/>
  <c r="E141" i="34"/>
  <c r="D141" i="34"/>
  <c r="F141" i="34"/>
  <c r="K49" i="34"/>
  <c r="E142" i="34"/>
  <c r="D142" i="34"/>
  <c r="F142" i="34"/>
  <c r="K50" i="34"/>
  <c r="E143" i="34"/>
  <c r="D143" i="34"/>
  <c r="F143" i="34"/>
  <c r="K51" i="34"/>
  <c r="E144" i="34"/>
  <c r="D144" i="34"/>
  <c r="F144" i="34"/>
  <c r="K52" i="34"/>
  <c r="E145" i="34"/>
  <c r="D145" i="34"/>
  <c r="F145" i="34"/>
  <c r="K53" i="34"/>
  <c r="F83" i="34"/>
  <c r="D90" i="34"/>
  <c r="D91" i="34"/>
  <c r="D92" i="34"/>
  <c r="D94" i="34"/>
  <c r="G83" i="34"/>
  <c r="F80" i="34"/>
  <c r="G80" i="34"/>
  <c r="D81" i="34"/>
  <c r="F81" i="34"/>
  <c r="G81" i="34"/>
  <c r="D82" i="34"/>
  <c r="F82" i="34"/>
  <c r="G82" i="34"/>
  <c r="D85" i="34"/>
  <c r="F85" i="34"/>
  <c r="G85" i="34"/>
  <c r="F84" i="34"/>
  <c r="G84" i="34"/>
  <c r="G86" i="34"/>
  <c r="D119" i="34"/>
  <c r="E91" i="34"/>
  <c r="G91" i="34"/>
  <c r="I91" i="34"/>
  <c r="E90" i="34"/>
  <c r="E92" i="34"/>
  <c r="E93" i="34"/>
  <c r="E94" i="34"/>
  <c r="J91" i="34"/>
  <c r="K91" i="34"/>
  <c r="L91" i="34"/>
  <c r="D120" i="34"/>
  <c r="D97" i="34"/>
  <c r="D98" i="34"/>
  <c r="D100" i="34"/>
  <c r="D104" i="34"/>
  <c r="D107" i="34"/>
  <c r="D108" i="34"/>
  <c r="D109" i="34"/>
  <c r="D111" i="34"/>
  <c r="D113" i="34"/>
  <c r="D115" i="34"/>
  <c r="D116" i="34"/>
  <c r="D121" i="34"/>
  <c r="D123" i="34"/>
  <c r="I35" i="34"/>
  <c r="I37" i="34"/>
  <c r="I38" i="34"/>
  <c r="E119" i="34"/>
  <c r="G92" i="34"/>
  <c r="I92" i="34"/>
  <c r="J92" i="34"/>
  <c r="K92" i="34"/>
  <c r="L92" i="34"/>
  <c r="E120" i="34"/>
  <c r="E121" i="34"/>
  <c r="E123" i="34"/>
  <c r="I39" i="34"/>
  <c r="F119" i="34"/>
  <c r="G93" i="34"/>
  <c r="I93" i="34"/>
  <c r="J93" i="34"/>
  <c r="K93" i="34"/>
  <c r="L93" i="34"/>
  <c r="F120" i="34"/>
  <c r="F121" i="34"/>
  <c r="F123" i="34"/>
  <c r="I40" i="34"/>
  <c r="I41" i="34"/>
  <c r="I42" i="34"/>
  <c r="C119" i="34"/>
  <c r="G90" i="34"/>
  <c r="I90" i="34"/>
  <c r="J90" i="34"/>
  <c r="K90" i="34"/>
  <c r="L90" i="34"/>
  <c r="C120" i="34"/>
  <c r="C121" i="34"/>
  <c r="C123" i="34"/>
  <c r="I43" i="34"/>
  <c r="I44" i="34"/>
  <c r="I45" i="34"/>
  <c r="I46" i="34"/>
  <c r="I47" i="34"/>
  <c r="I48" i="34"/>
  <c r="I49" i="34"/>
  <c r="I50" i="34"/>
  <c r="I51" i="34"/>
  <c r="I52" i="34"/>
  <c r="I53" i="34"/>
  <c r="F46" i="102"/>
  <c r="H70" i="102"/>
  <c r="F49" i="103"/>
  <c r="H73" i="103"/>
  <c r="F44" i="105"/>
  <c r="H68" i="105"/>
  <c r="H71" i="161"/>
  <c r="H72" i="161"/>
  <c r="H73" i="161"/>
  <c r="H74" i="161"/>
  <c r="H77" i="161"/>
  <c r="B2" i="111"/>
  <c r="B2" i="116"/>
  <c r="F54" i="110"/>
  <c r="F53" i="111"/>
  <c r="F53" i="112"/>
  <c r="F45" i="108"/>
  <c r="F46" i="107"/>
  <c r="F52" i="104"/>
  <c r="F44" i="116"/>
  <c r="F48" i="113"/>
  <c r="F50" i="106"/>
  <c r="F45" i="119"/>
  <c r="F49" i="96"/>
  <c r="F49" i="118"/>
  <c r="B14" i="111"/>
  <c r="B28" i="111"/>
  <c r="B35" i="111"/>
  <c r="B36" i="111"/>
  <c r="B38" i="111"/>
  <c r="B39" i="111"/>
  <c r="B41" i="111"/>
  <c r="B43" i="111"/>
  <c r="B44" i="111"/>
  <c r="H47" i="111"/>
  <c r="H53" i="111"/>
  <c r="B62" i="111"/>
  <c r="H63" i="111"/>
  <c r="H76" i="111"/>
  <c r="I55" i="93"/>
  <c r="I54" i="93"/>
  <c r="P148" i="2"/>
  <c r="H70" i="107"/>
  <c r="H74" i="106"/>
  <c r="H77" i="110"/>
  <c r="H76" i="112"/>
  <c r="H68" i="108"/>
  <c r="H76" i="104"/>
  <c r="H66" i="116"/>
  <c r="H70" i="113"/>
  <c r="H67" i="119"/>
  <c r="H73" i="96"/>
  <c r="H71" i="118"/>
  <c r="D92" i="91"/>
  <c r="D96" i="91"/>
  <c r="E63" i="91"/>
  <c r="E64" i="91"/>
  <c r="E65" i="91"/>
  <c r="E66" i="91"/>
  <c r="E67" i="91"/>
  <c r="E68" i="91"/>
  <c r="E69" i="91"/>
  <c r="E70" i="91"/>
  <c r="E71" i="91"/>
  <c r="E72" i="91"/>
  <c r="D73" i="91"/>
  <c r="E73" i="91"/>
  <c r="D74" i="91"/>
  <c r="E74" i="91"/>
  <c r="E75" i="91"/>
  <c r="E76" i="91"/>
  <c r="E77" i="91"/>
  <c r="E78" i="91"/>
  <c r="E79" i="91"/>
  <c r="E80" i="91"/>
  <c r="E81" i="91"/>
  <c r="E82" i="91"/>
  <c r="E83" i="91"/>
  <c r="E84" i="91"/>
  <c r="E85" i="91"/>
  <c r="E86" i="91"/>
  <c r="E87" i="91"/>
  <c r="E8" i="91"/>
  <c r="B128" i="34"/>
  <c r="B129" i="34"/>
  <c r="B130" i="34"/>
  <c r="B131" i="34"/>
  <c r="B132" i="34"/>
  <c r="B133" i="34"/>
  <c r="B134" i="34"/>
  <c r="B135" i="34"/>
  <c r="B136" i="34"/>
  <c r="B137" i="34"/>
  <c r="B138" i="34"/>
  <c r="B139" i="34"/>
  <c r="B140" i="34"/>
  <c r="B141" i="34"/>
  <c r="B142" i="34"/>
  <c r="B143" i="34"/>
  <c r="B144" i="34"/>
  <c r="B145" i="34"/>
  <c r="B127" i="34"/>
  <c r="B2" i="161"/>
  <c r="B2" i="105"/>
  <c r="B18" i="104"/>
  <c r="B31" i="104"/>
  <c r="B2" i="103"/>
  <c r="B62" i="104"/>
  <c r="B2" i="102"/>
  <c r="B2" i="121"/>
  <c r="B2" i="118"/>
  <c r="B51" i="125"/>
  <c r="B2" i="117"/>
  <c r="B43" i="117"/>
  <c r="B2" i="115"/>
  <c r="B45" i="115"/>
  <c r="B2" i="96"/>
  <c r="B27" i="104"/>
  <c r="B2" i="119"/>
  <c r="B2" i="106"/>
  <c r="B2" i="126"/>
  <c r="B48" i="126"/>
  <c r="B2" i="120"/>
  <c r="B2" i="113"/>
  <c r="B34" i="109"/>
  <c r="B2" i="127"/>
  <c r="B41" i="127"/>
  <c r="B2" i="124"/>
  <c r="B47" i="124"/>
  <c r="B2" i="125"/>
  <c r="B53" i="125"/>
  <c r="B2" i="104"/>
  <c r="B2" i="107"/>
  <c r="B2" i="108"/>
  <c r="B2" i="123"/>
  <c r="B48" i="123"/>
  <c r="B2" i="112"/>
  <c r="B2" i="101"/>
  <c r="B2" i="110"/>
  <c r="B2" i="109"/>
  <c r="B2" i="99"/>
  <c r="B2" i="114"/>
  <c r="E7" i="175"/>
  <c r="E8" i="175"/>
  <c r="E9" i="175"/>
  <c r="E10" i="175"/>
  <c r="E11" i="175"/>
  <c r="E12" i="175"/>
  <c r="E13" i="175"/>
  <c r="E14" i="175"/>
  <c r="E15" i="175"/>
  <c r="E16" i="175"/>
  <c r="E17" i="175"/>
  <c r="E18" i="175"/>
  <c r="E19" i="175"/>
  <c r="E20" i="175"/>
  <c r="E21" i="175"/>
  <c r="C83" i="34"/>
  <c r="D28" i="2"/>
  <c r="D48" i="2"/>
  <c r="C105" i="2"/>
  <c r="C121" i="2"/>
  <c r="C123" i="2"/>
  <c r="C124" i="2"/>
  <c r="C112" i="2"/>
  <c r="C114" i="2"/>
  <c r="C116" i="2"/>
  <c r="C137" i="2"/>
  <c r="B206" i="2"/>
  <c r="B202" i="2"/>
  <c r="B27" i="109"/>
  <c r="B2" i="85"/>
  <c r="D9" i="2"/>
  <c r="D31" i="2"/>
  <c r="D69" i="2"/>
  <c r="D68" i="2"/>
  <c r="D67" i="2"/>
  <c r="D66" i="2"/>
  <c r="D63" i="2"/>
  <c r="D62" i="2"/>
  <c r="D59" i="2"/>
  <c r="D58" i="2"/>
  <c r="D57" i="2"/>
  <c r="D56" i="2"/>
  <c r="D40" i="2"/>
  <c r="D37" i="2"/>
  <c r="D33" i="2"/>
  <c r="D32" i="2"/>
  <c r="D30" i="2"/>
  <c r="D29" i="2"/>
  <c r="D25" i="2"/>
  <c r="D24" i="2"/>
  <c r="D21" i="2"/>
  <c r="D20" i="2"/>
  <c r="D17" i="2"/>
  <c r="D16" i="2"/>
  <c r="D15" i="2"/>
  <c r="D14" i="2"/>
  <c r="D13" i="2"/>
  <c r="D12" i="2"/>
  <c r="D11" i="2"/>
  <c r="B23" i="114"/>
  <c r="B16" i="114"/>
  <c r="B45" i="114"/>
  <c r="N102" i="2"/>
  <c r="N108" i="2"/>
  <c r="N107" i="2"/>
  <c r="N104" i="2"/>
  <c r="N115" i="2"/>
  <c r="N103" i="2"/>
  <c r="N128" i="2"/>
  <c r="N138" i="2"/>
  <c r="N129" i="2"/>
  <c r="N133" i="2"/>
  <c r="N132" i="2"/>
  <c r="N116" i="2"/>
  <c r="N119" i="2"/>
  <c r="N114" i="2"/>
  <c r="N125" i="2"/>
  <c r="N124" i="2"/>
  <c r="N112" i="2"/>
  <c r="N123" i="2"/>
  <c r="N122" i="2"/>
  <c r="N111" i="2"/>
  <c r="N120" i="2"/>
  <c r="N121" i="2"/>
  <c r="N105" i="2"/>
  <c r="N106" i="2"/>
  <c r="H129" i="2"/>
  <c r="S129" i="2"/>
  <c r="B211" i="2"/>
  <c r="B210" i="2"/>
  <c r="B209" i="2"/>
  <c r="B201" i="2"/>
  <c r="B200" i="2"/>
  <c r="B199" i="2"/>
  <c r="B27" i="161"/>
  <c r="B26" i="161"/>
  <c r="H60" i="161"/>
  <c r="B59" i="161"/>
  <c r="H47" i="161"/>
  <c r="H43" i="161"/>
  <c r="B36" i="161"/>
  <c r="B32" i="161"/>
  <c r="B31" i="161"/>
  <c r="B23" i="161"/>
  <c r="B18" i="161"/>
  <c r="B39" i="118"/>
  <c r="H42" i="118"/>
  <c r="H49" i="118"/>
  <c r="H58" i="118"/>
  <c r="H64" i="125"/>
  <c r="H54" i="125"/>
  <c r="H46" i="125"/>
  <c r="H49" i="99"/>
  <c r="H46" i="114"/>
  <c r="H44" i="105"/>
  <c r="H55" i="85"/>
  <c r="H49" i="103"/>
  <c r="H46" i="102"/>
  <c r="H44" i="121"/>
  <c r="H44" i="117"/>
  <c r="H46" i="115"/>
  <c r="H49" i="96"/>
  <c r="H45" i="119"/>
  <c r="H50" i="106"/>
  <c r="H49" i="126"/>
  <c r="H46" i="120"/>
  <c r="H48" i="113"/>
  <c r="H43" i="127"/>
  <c r="H49" i="124"/>
  <c r="H44" i="116"/>
  <c r="H52" i="104"/>
  <c r="H46" i="107"/>
  <c r="H45" i="108"/>
  <c r="H49" i="123"/>
  <c r="H53" i="112"/>
  <c r="H49" i="101"/>
  <c r="H54" i="110"/>
  <c r="H63" i="109"/>
  <c r="H53" i="109"/>
  <c r="H46" i="109"/>
  <c r="B35" i="125"/>
  <c r="B34" i="125"/>
  <c r="B31" i="105"/>
  <c r="B30" i="105"/>
  <c r="B32" i="85"/>
  <c r="B31" i="85"/>
  <c r="B31" i="103"/>
  <c r="B30" i="103"/>
  <c r="B31" i="102"/>
  <c r="B30" i="102"/>
  <c r="B30" i="121"/>
  <c r="B29" i="121"/>
  <c r="B34" i="118"/>
  <c r="B33" i="118"/>
  <c r="B30" i="117"/>
  <c r="B29" i="117"/>
  <c r="B27" i="115"/>
  <c r="B26" i="115"/>
  <c r="B32" i="96"/>
  <c r="B31" i="96"/>
  <c r="B30" i="119"/>
  <c r="B29" i="119"/>
  <c r="B31" i="106"/>
  <c r="B30" i="106"/>
  <c r="B35" i="126"/>
  <c r="B34" i="126"/>
  <c r="B30" i="120"/>
  <c r="B29" i="120"/>
  <c r="B35" i="113"/>
  <c r="B34" i="113"/>
  <c r="B29" i="127"/>
  <c r="B28" i="127"/>
  <c r="B34" i="124"/>
  <c r="B33" i="124"/>
  <c r="B31" i="116"/>
  <c r="B30" i="116"/>
  <c r="B32" i="104"/>
  <c r="B31" i="107"/>
  <c r="B30" i="107"/>
  <c r="B30" i="108"/>
  <c r="B29" i="108"/>
  <c r="B34" i="123"/>
  <c r="B33" i="123"/>
  <c r="B36" i="112"/>
  <c r="B35" i="112"/>
  <c r="B34" i="101"/>
  <c r="B33" i="101"/>
  <c r="B36" i="110"/>
  <c r="B35" i="110"/>
  <c r="B35" i="109"/>
  <c r="B34" i="99"/>
  <c r="B33" i="99"/>
  <c r="B30" i="114"/>
  <c r="B29" i="114"/>
  <c r="H55" i="105"/>
  <c r="H38" i="105"/>
  <c r="H68" i="85"/>
  <c r="H48" i="85"/>
  <c r="H60" i="103"/>
  <c r="H43" i="103"/>
  <c r="H57" i="102"/>
  <c r="H40" i="102"/>
  <c r="H53" i="121"/>
  <c r="H37" i="121"/>
  <c r="H54" i="117"/>
  <c r="H37" i="117"/>
  <c r="H56" i="115"/>
  <c r="H39" i="115"/>
  <c r="H60" i="96"/>
  <c r="H43" i="96"/>
  <c r="H54" i="119"/>
  <c r="H39" i="119"/>
  <c r="H61" i="106"/>
  <c r="H44" i="106"/>
  <c r="H58" i="126"/>
  <c r="H42" i="126"/>
  <c r="H55" i="120"/>
  <c r="H39" i="120"/>
  <c r="H57" i="113"/>
  <c r="H42" i="113"/>
  <c r="H53" i="127"/>
  <c r="H36" i="127"/>
  <c r="H58" i="124"/>
  <c r="H41" i="124"/>
  <c r="H53" i="116"/>
  <c r="H38" i="116"/>
  <c r="H63" i="104"/>
  <c r="H46" i="104"/>
  <c r="H57" i="107"/>
  <c r="H40" i="107"/>
  <c r="H55" i="108"/>
  <c r="H39" i="108"/>
  <c r="H59" i="123"/>
  <c r="H41" i="123"/>
  <c r="H63" i="112"/>
  <c r="H47" i="112"/>
  <c r="H58" i="101"/>
  <c r="H42" i="101"/>
  <c r="H64" i="110"/>
  <c r="H48" i="110"/>
  <c r="H58" i="99"/>
  <c r="H41" i="99"/>
  <c r="H55" i="114"/>
  <c r="H39" i="114"/>
  <c r="B43" i="109"/>
  <c r="K68" i="2"/>
  <c r="L68" i="2"/>
  <c r="K70" i="2"/>
  <c r="L70" i="2"/>
  <c r="H180" i="2"/>
  <c r="L180" i="2"/>
  <c r="J180" i="2"/>
  <c r="G180" i="2"/>
  <c r="H179" i="2"/>
  <c r="L179" i="2"/>
  <c r="J179" i="2"/>
  <c r="G179" i="2"/>
  <c r="H189" i="2"/>
  <c r="L189" i="2"/>
  <c r="J189" i="2"/>
  <c r="G189" i="2"/>
  <c r="L188" i="2"/>
  <c r="J188" i="2"/>
  <c r="G188" i="2"/>
  <c r="L187" i="2"/>
  <c r="J187" i="2"/>
  <c r="G187" i="2"/>
  <c r="H184" i="2"/>
  <c r="L184" i="2"/>
  <c r="J184" i="2"/>
  <c r="G184" i="2"/>
  <c r="H183" i="2"/>
  <c r="L183" i="2"/>
  <c r="J183" i="2"/>
  <c r="G183" i="2"/>
  <c r="H167" i="2"/>
  <c r="L167" i="2"/>
  <c r="J167" i="2"/>
  <c r="G167" i="2"/>
  <c r="H166" i="2"/>
  <c r="L166" i="2"/>
  <c r="J166" i="2"/>
  <c r="G166" i="2"/>
  <c r="H165" i="2"/>
  <c r="L165" i="2"/>
  <c r="J165" i="2"/>
  <c r="G165" i="2"/>
  <c r="H163" i="2"/>
  <c r="L163" i="2"/>
  <c r="J163" i="2"/>
  <c r="G163" i="2"/>
  <c r="H162" i="2"/>
  <c r="L162" i="2"/>
  <c r="J162" i="2"/>
  <c r="G162" i="2"/>
  <c r="H176" i="2"/>
  <c r="L176" i="2"/>
  <c r="J176" i="2"/>
  <c r="G176" i="2"/>
  <c r="H175" i="2"/>
  <c r="L175" i="2"/>
  <c r="J175" i="2"/>
  <c r="G175" i="2"/>
  <c r="H174" i="2"/>
  <c r="L174" i="2"/>
  <c r="J174" i="2"/>
  <c r="G174" i="2"/>
  <c r="H173" i="2"/>
  <c r="L173" i="2"/>
  <c r="J173" i="2"/>
  <c r="G173" i="2"/>
  <c r="H172" i="2"/>
  <c r="L172" i="2"/>
  <c r="J172" i="2"/>
  <c r="G172" i="2"/>
  <c r="H171" i="2"/>
  <c r="L171" i="2"/>
  <c r="J171" i="2"/>
  <c r="G171" i="2"/>
  <c r="H170" i="2"/>
  <c r="L170" i="2"/>
  <c r="J170" i="2"/>
  <c r="G170" i="2"/>
  <c r="H159" i="2"/>
  <c r="L159" i="2"/>
  <c r="J159" i="2"/>
  <c r="G159" i="2"/>
  <c r="L158" i="2"/>
  <c r="J158" i="2"/>
  <c r="G158" i="2"/>
  <c r="H157" i="2"/>
  <c r="L157" i="2"/>
  <c r="J157" i="2"/>
  <c r="G157" i="2"/>
  <c r="H156" i="2"/>
  <c r="L156" i="2"/>
  <c r="J156" i="2"/>
  <c r="G156" i="2"/>
  <c r="H155" i="2"/>
  <c r="L155" i="2"/>
  <c r="J155" i="2"/>
  <c r="G155" i="2"/>
  <c r="H154" i="2"/>
  <c r="L154" i="2"/>
  <c r="J154" i="2"/>
  <c r="G154" i="2"/>
  <c r="H153" i="2"/>
  <c r="L153" i="2"/>
  <c r="J153" i="2"/>
  <c r="G153" i="2"/>
  <c r="H152" i="2"/>
  <c r="L152" i="2"/>
  <c r="J152" i="2"/>
  <c r="G152" i="2"/>
  <c r="N148" i="2"/>
  <c r="Q148" i="2"/>
  <c r="O148" i="2"/>
  <c r="S148" i="2"/>
  <c r="T148" i="2"/>
  <c r="V148" i="2"/>
  <c r="W148" i="2"/>
  <c r="H148" i="2"/>
  <c r="L148" i="2"/>
  <c r="J148" i="2"/>
  <c r="G148" i="2"/>
  <c r="H147" i="2"/>
  <c r="L147" i="2"/>
  <c r="J147" i="2"/>
  <c r="G147" i="2"/>
  <c r="H146" i="2"/>
  <c r="L146" i="2"/>
  <c r="J146" i="2"/>
  <c r="G146" i="2"/>
  <c r="H145" i="2"/>
  <c r="L145" i="2"/>
  <c r="J145" i="2"/>
  <c r="G145" i="2"/>
  <c r="N94" i="2"/>
  <c r="O94" i="2"/>
  <c r="N95" i="2"/>
  <c r="O95" i="2"/>
  <c r="O102" i="2"/>
  <c r="O108" i="2"/>
  <c r="O107" i="2"/>
  <c r="O104" i="2"/>
  <c r="O115" i="2"/>
  <c r="O103" i="2"/>
  <c r="O128" i="2"/>
  <c r="O138" i="2"/>
  <c r="N137" i="2"/>
  <c r="O137" i="2"/>
  <c r="N136" i="2"/>
  <c r="O136" i="2"/>
  <c r="O133" i="2"/>
  <c r="O132" i="2"/>
  <c r="O116" i="2"/>
  <c r="N96" i="2"/>
  <c r="O96" i="2"/>
  <c r="O119" i="2"/>
  <c r="O114" i="2"/>
  <c r="O125" i="2"/>
  <c r="O124" i="2"/>
  <c r="O112" i="2"/>
  <c r="O123" i="2"/>
  <c r="O122" i="2"/>
  <c r="O111" i="2"/>
  <c r="O120" i="2"/>
  <c r="O121" i="2"/>
  <c r="O105" i="2"/>
  <c r="O106" i="2"/>
  <c r="N101" i="2"/>
  <c r="O101" i="2"/>
  <c r="W129" i="2"/>
  <c r="N97" i="2"/>
  <c r="O97" i="2"/>
  <c r="H97" i="2"/>
  <c r="S97" i="2"/>
  <c r="T97" i="2"/>
  <c r="U97" i="2"/>
  <c r="W97" i="2"/>
  <c r="X97" i="2"/>
  <c r="O129" i="2"/>
  <c r="X129" i="2"/>
  <c r="L129" i="2"/>
  <c r="J129" i="2"/>
  <c r="G129" i="2"/>
  <c r="L128" i="2"/>
  <c r="J128" i="2"/>
  <c r="G128" i="2"/>
  <c r="L138" i="2"/>
  <c r="J138" i="2"/>
  <c r="G138" i="2"/>
  <c r="L137" i="2"/>
  <c r="J137" i="2"/>
  <c r="G137" i="2"/>
  <c r="L136" i="2"/>
  <c r="J136" i="2"/>
  <c r="G136" i="2"/>
  <c r="L133" i="2"/>
  <c r="J133" i="2"/>
  <c r="G133" i="2"/>
  <c r="L132" i="2"/>
  <c r="J132" i="2"/>
  <c r="G132" i="2"/>
  <c r="H116" i="2"/>
  <c r="S116" i="2"/>
  <c r="L116" i="2"/>
  <c r="J116" i="2"/>
  <c r="G116" i="2"/>
  <c r="L115" i="2"/>
  <c r="J115" i="2"/>
  <c r="G115" i="2"/>
  <c r="H114" i="2"/>
  <c r="S114" i="2"/>
  <c r="L114" i="2"/>
  <c r="J114" i="2"/>
  <c r="G114" i="2"/>
  <c r="L112" i="2"/>
  <c r="J112" i="2"/>
  <c r="G112" i="2"/>
  <c r="L111" i="2"/>
  <c r="J111" i="2"/>
  <c r="G111" i="2"/>
  <c r="L125" i="2"/>
  <c r="J125" i="2"/>
  <c r="G125" i="2"/>
  <c r="L124" i="2"/>
  <c r="J124" i="2"/>
  <c r="G124" i="2"/>
  <c r="L123" i="2"/>
  <c r="J123" i="2"/>
  <c r="G123" i="2"/>
  <c r="L122" i="2"/>
  <c r="J122" i="2"/>
  <c r="G122" i="2"/>
  <c r="L121" i="2"/>
  <c r="J121" i="2"/>
  <c r="G121" i="2"/>
  <c r="L120" i="2"/>
  <c r="J120" i="2"/>
  <c r="G120" i="2"/>
  <c r="L119" i="2"/>
  <c r="J119" i="2"/>
  <c r="G119" i="2"/>
  <c r="L108" i="2"/>
  <c r="J108" i="2"/>
  <c r="G108" i="2"/>
  <c r="L107" i="2"/>
  <c r="J107" i="2"/>
  <c r="G107" i="2"/>
  <c r="L106" i="2"/>
  <c r="J106" i="2"/>
  <c r="G106" i="2"/>
  <c r="L105" i="2"/>
  <c r="J105" i="2"/>
  <c r="G105" i="2"/>
  <c r="L104" i="2"/>
  <c r="J104" i="2"/>
  <c r="G104" i="2"/>
  <c r="L103" i="2"/>
  <c r="J103" i="2"/>
  <c r="G103" i="2"/>
  <c r="L102" i="2"/>
  <c r="J102" i="2"/>
  <c r="G102" i="2"/>
  <c r="L101" i="2"/>
  <c r="J101" i="2"/>
  <c r="G101" i="2"/>
  <c r="L97" i="2"/>
  <c r="J97" i="2"/>
  <c r="G97" i="2"/>
  <c r="L96" i="2"/>
  <c r="J96" i="2"/>
  <c r="G96" i="2"/>
  <c r="L95" i="2"/>
  <c r="J95" i="2"/>
  <c r="G95" i="2"/>
  <c r="L94" i="2"/>
  <c r="J94" i="2"/>
  <c r="G94" i="2"/>
  <c r="C40" i="93"/>
  <c r="B84" i="93"/>
  <c r="E97" i="93"/>
  <c r="G97" i="93"/>
  <c r="C20" i="93"/>
  <c r="B101" i="93"/>
  <c r="B97" i="93"/>
  <c r="B96" i="93"/>
  <c r="B81" i="93"/>
  <c r="B90" i="93"/>
  <c r="B89" i="93"/>
  <c r="B88" i="93"/>
  <c r="B14" i="118"/>
  <c r="B14" i="126"/>
  <c r="B14" i="113"/>
  <c r="B14" i="125"/>
  <c r="B14" i="124"/>
  <c r="B14" i="123"/>
  <c r="B14" i="112"/>
  <c r="B14" i="101"/>
  <c r="B14" i="109"/>
  <c r="B14" i="110"/>
  <c r="B14" i="99"/>
  <c r="F151" i="92"/>
  <c r="B52" i="121"/>
  <c r="B57" i="118"/>
  <c r="B55" i="115"/>
  <c r="B53" i="119"/>
  <c r="B60" i="106"/>
  <c r="B57" i="126"/>
  <c r="B54" i="120"/>
  <c r="B56" i="113"/>
  <c r="B52" i="127"/>
  <c r="B63" i="125"/>
  <c r="B57" i="124"/>
  <c r="B56" i="107"/>
  <c r="B54" i="108"/>
  <c r="B58" i="123"/>
  <c r="B62" i="112"/>
  <c r="B57" i="101"/>
  <c r="B63" i="110"/>
  <c r="B62" i="109"/>
  <c r="B57" i="99"/>
  <c r="B54" i="114"/>
  <c r="B54" i="105"/>
  <c r="B67" i="85"/>
  <c r="B59" i="103"/>
  <c r="B56" i="102"/>
  <c r="B53" i="117"/>
  <c r="B59" i="96"/>
  <c r="B52" i="116"/>
  <c r="B42" i="121"/>
  <c r="B44" i="120"/>
  <c r="B46" i="123"/>
  <c r="B48" i="124"/>
  <c r="B52" i="109"/>
  <c r="B34" i="104"/>
  <c r="B35" i="105"/>
  <c r="B41" i="85"/>
  <c r="B37" i="103"/>
  <c r="B37" i="102"/>
  <c r="B38" i="106"/>
  <c r="B37" i="107"/>
  <c r="B38" i="104"/>
  <c r="B43" i="112"/>
  <c r="B42" i="109"/>
  <c r="B43" i="110"/>
  <c r="B44" i="110"/>
  <c r="B44" i="112"/>
  <c r="B42" i="125"/>
  <c r="B43" i="125"/>
  <c r="B212" i="93"/>
  <c r="B209" i="93"/>
  <c r="B205" i="93"/>
  <c r="B202" i="93"/>
  <c r="B199" i="93"/>
  <c r="B195" i="93"/>
  <c r="B193" i="93"/>
  <c r="B190" i="93"/>
  <c r="B186" i="93"/>
  <c r="B170" i="93"/>
  <c r="B171" i="93"/>
  <c r="B169" i="93"/>
  <c r="B168" i="93"/>
  <c r="B166" i="93"/>
  <c r="B167" i="93"/>
  <c r="B164" i="93"/>
  <c r="B165" i="93"/>
  <c r="B41" i="93"/>
  <c r="B162" i="93"/>
  <c r="B163" i="93"/>
  <c r="B40" i="93"/>
  <c r="B161" i="93"/>
  <c r="B54" i="93"/>
  <c r="B177" i="93"/>
  <c r="B181" i="93"/>
  <c r="B40" i="113"/>
  <c r="B34" i="127"/>
  <c r="B40" i="125"/>
  <c r="B39" i="124"/>
  <c r="B35" i="108"/>
  <c r="B39" i="123"/>
  <c r="B41" i="112"/>
  <c r="B41" i="110"/>
  <c r="B40" i="109"/>
  <c r="B35" i="114"/>
  <c r="B39" i="112"/>
  <c r="B38" i="112"/>
  <c r="B37" i="101"/>
  <c r="B36" i="101"/>
  <c r="B39" i="110"/>
  <c r="B38" i="110"/>
  <c r="B38" i="109"/>
  <c r="B37" i="109"/>
  <c r="B37" i="99"/>
  <c r="B36" i="99"/>
  <c r="B33" i="114"/>
  <c r="B32" i="114"/>
  <c r="B19" i="105"/>
  <c r="B18" i="85"/>
  <c r="B19" i="103"/>
  <c r="B19" i="102"/>
  <c r="B19" i="117"/>
  <c r="B18" i="96"/>
  <c r="B19" i="106"/>
  <c r="B18" i="116"/>
  <c r="B19" i="107"/>
  <c r="B27" i="85"/>
  <c r="B27" i="96"/>
  <c r="B26" i="104"/>
  <c r="B26" i="96"/>
  <c r="B26" i="85"/>
  <c r="B22" i="121"/>
  <c r="B22" i="119"/>
  <c r="B27" i="126"/>
  <c r="B22" i="120"/>
  <c r="B27" i="113"/>
  <c r="B27" i="125"/>
  <c r="B28" i="112"/>
  <c r="B28" i="110"/>
  <c r="B27" i="123"/>
  <c r="B27" i="101"/>
  <c r="B27" i="99"/>
  <c r="B24" i="105"/>
  <c r="B23" i="85"/>
  <c r="B24" i="103"/>
  <c r="B24" i="102"/>
  <c r="B24" i="117"/>
  <c r="B23" i="96"/>
  <c r="B24" i="106"/>
  <c r="B23" i="104"/>
  <c r="B24" i="107"/>
  <c r="B26" i="116"/>
  <c r="B9" i="92"/>
  <c r="B8" i="92"/>
  <c r="B48" i="101"/>
  <c r="I44" i="2"/>
  <c r="I70" i="2"/>
  <c r="B19" i="115"/>
  <c r="I36" i="34"/>
  <c r="J36" i="34"/>
  <c r="E9" i="34"/>
  <c r="B16" i="108"/>
  <c r="B14" i="91"/>
  <c r="B13" i="91"/>
  <c r="E8" i="34"/>
  <c r="F136" i="93"/>
  <c r="G136" i="93"/>
  <c r="C67" i="93"/>
  <c r="E240" i="93"/>
  <c r="G91" i="93"/>
  <c r="I68" i="2"/>
  <c r="I57" i="2"/>
  <c r="I58" i="2"/>
  <c r="I56" i="2"/>
  <c r="I36" i="2"/>
  <c r="C82" i="2"/>
  <c r="C84" i="2"/>
  <c r="E95" i="91"/>
  <c r="E93" i="91"/>
  <c r="E94" i="91"/>
  <c r="E92" i="91"/>
  <c r="E91" i="91"/>
  <c r="D82" i="2"/>
  <c r="E52" i="91"/>
  <c r="E53" i="91"/>
  <c r="E54" i="91"/>
  <c r="E55" i="91"/>
  <c r="E56" i="91"/>
  <c r="E57" i="91"/>
  <c r="E58" i="91"/>
  <c r="E59" i="91"/>
  <c r="E60" i="91"/>
  <c r="E61" i="91"/>
  <c r="I94" i="34"/>
  <c r="G94" i="34"/>
  <c r="D84" i="2"/>
</calcChain>
</file>

<file path=xl/comments1.xml><?xml version="1.0" encoding="utf-8"?>
<comments xmlns="http://schemas.openxmlformats.org/spreadsheetml/2006/main">
  <authors>
    <author>Tiffany Thompson</author>
  </authors>
  <commentList>
    <comment ref="G220" authorId="0">
      <text>
        <r>
          <rPr>
            <b/>
            <sz val="9"/>
            <color indexed="81"/>
            <rFont val="Arial"/>
          </rPr>
          <t>Tiffany Thompson:</t>
        </r>
        <r>
          <rPr>
            <sz val="9"/>
            <color indexed="81"/>
            <rFont val="Arial"/>
          </rPr>
          <t xml:space="preserve">
37 beds divided by 11.26
 beds per third acre. </t>
        </r>
      </text>
    </comment>
  </commentList>
</comments>
</file>

<file path=xl/comments2.xml><?xml version="1.0" encoding="utf-8"?>
<comments xmlns="http://schemas.openxmlformats.org/spreadsheetml/2006/main">
  <authors>
    <author>Tiffany Thompson</author>
  </authors>
  <commentList>
    <comment ref="K94" authorId="0">
      <text>
        <r>
          <rPr>
            <b/>
            <sz val="9"/>
            <color indexed="81"/>
            <rFont val="Arial"/>
          </rPr>
          <t>Tiffany Thompson:</t>
        </r>
        <r>
          <rPr>
            <sz val="9"/>
            <color indexed="81"/>
            <rFont val="Arial"/>
          </rPr>
          <t xml:space="preserve">
estimated</t>
        </r>
      </text>
    </comment>
  </commentList>
</comments>
</file>

<file path=xl/sharedStrings.xml><?xml version="1.0" encoding="utf-8"?>
<sst xmlns="http://schemas.openxmlformats.org/spreadsheetml/2006/main" count="3619" uniqueCount="948">
  <si>
    <t>Annual structure cost</t>
  </si>
  <si>
    <t>Electricity</t>
  </si>
  <si>
    <t>Fuel for heat</t>
  </si>
  <si>
    <t>Harvest:</t>
  </si>
  <si>
    <t xml:space="preserve">     =</t>
  </si>
  <si>
    <t>Total structure cost</t>
  </si>
  <si>
    <t>Broccoli</t>
  </si>
  <si>
    <t>Cabbage</t>
  </si>
  <si>
    <t>Potatoes</t>
  </si>
  <si>
    <t>Subtotal annual expenses</t>
  </si>
  <si>
    <t>Seed/Transplant:</t>
  </si>
  <si>
    <t>Spade</t>
  </si>
  <si>
    <t>Till</t>
  </si>
  <si>
    <t>Lay Plastic</t>
  </si>
  <si>
    <t>Third Acre</t>
  </si>
  <si>
    <t>Purchase Year</t>
  </si>
  <si>
    <t>Model Year</t>
  </si>
  <si>
    <t>Purchase Price</t>
  </si>
  <si>
    <t>Salvage Value</t>
  </si>
  <si>
    <t>Average Value</t>
  </si>
  <si>
    <t>Useful Life</t>
  </si>
  <si>
    <t>Total Depreciation</t>
  </si>
  <si>
    <t>Annual Depreciation</t>
  </si>
  <si>
    <t>Annual Interest</t>
  </si>
  <si>
    <t>Annual Taxes + Insurance + Housing</t>
  </si>
  <si>
    <t>Kubota B1700</t>
  </si>
  <si>
    <t>Zero-turn mower</t>
  </si>
  <si>
    <t>H &amp; S Manure Spreader</t>
  </si>
  <si>
    <t>Tye Pasture Pleasure No-till Grain Drill</t>
  </si>
  <si>
    <t>Disc Harrow</t>
  </si>
  <si>
    <t>Kress Argus Finger Weeder</t>
  </si>
  <si>
    <t>Rain-Flo Challenger 1800 Mulch Lifter</t>
  </si>
  <si>
    <t>Rain-Flo Model 2600 Plastic Mulch Layer</t>
  </si>
  <si>
    <t>Custom Fertigator</t>
  </si>
  <si>
    <t>Pixall Bean Harvester</t>
  </si>
  <si>
    <t>Willsie potato planter/harvester</t>
  </si>
  <si>
    <t>Lilliston potato cultivator</t>
  </si>
  <si>
    <t>Crop Management:</t>
  </si>
  <si>
    <t>Fertigate</t>
  </si>
  <si>
    <t>Tie: 8x</t>
  </si>
  <si>
    <t>Remove String</t>
  </si>
  <si>
    <t>Remove T-posts</t>
  </si>
  <si>
    <t>Flailmow crop</t>
  </si>
  <si>
    <t>Disc</t>
  </si>
  <si>
    <t>Subsoil</t>
  </si>
  <si>
    <t>Drill cover crop</t>
  </si>
  <si>
    <t>Spread compost</t>
  </si>
  <si>
    <t>Row feet:</t>
  </si>
  <si>
    <t>Average</t>
  </si>
  <si>
    <t>Cost of Charlie's Compost (includes shipping)</t>
  </si>
  <si>
    <t>Moving flats outside</t>
  </si>
  <si>
    <t>Inventory seed</t>
  </si>
  <si>
    <t>Wash trays</t>
  </si>
  <si>
    <t>Total Hours</t>
  </si>
  <si>
    <t>Number of trays</t>
  </si>
  <si>
    <t>Total</t>
  </si>
  <si>
    <t>BCS + flailmower</t>
  </si>
  <si>
    <t xml:space="preserve">Hay Wagon </t>
  </si>
  <si>
    <t>ITEM</t>
  </si>
  <si>
    <t>Annual Cost</t>
  </si>
  <si>
    <t>Total Price</t>
  </si>
  <si>
    <t>3 seeding plates (162, 128, 72)</t>
  </si>
  <si>
    <t>3 dibbling plates (162, 128, 72)</t>
  </si>
  <si>
    <t>Water trays</t>
  </si>
  <si>
    <t>Equipment cost</t>
  </si>
  <si>
    <t>Seed cost</t>
  </si>
  <si>
    <t>Potting Media/Compost/Fertilizer cost</t>
  </si>
  <si>
    <t>Watermark Sensors</t>
  </si>
  <si>
    <t>Watermark Reader</t>
  </si>
  <si>
    <t>Compost</t>
  </si>
  <si>
    <t>Garlic</t>
  </si>
  <si>
    <t>Tape-Loc Coupling</t>
  </si>
  <si>
    <t>.42" Barb x Tape Loc with Valve</t>
  </si>
  <si>
    <t>RED Deluxe Serrated Punch</t>
  </si>
  <si>
    <t>35psi pressure regulator</t>
  </si>
  <si>
    <t>Water meter</t>
  </si>
  <si>
    <t>PVC T</t>
  </si>
  <si>
    <t>1.5" MPT quick coupler</t>
  </si>
  <si>
    <t>1.5" PVC Ball Valve Threaded</t>
  </si>
  <si>
    <t>2" Aluminum Quick Coupler (Female x MPT)</t>
  </si>
  <si>
    <t>2" Aluminum Quick Coupler (Male x MPT)</t>
  </si>
  <si>
    <t>2" Aluminum Quick Coupler (Female x Insert)</t>
  </si>
  <si>
    <t>2" Aluminum Quick Coupler (Male x Insert)</t>
  </si>
  <si>
    <t>2" Aluminum Quick Coupler (Female Cap)</t>
  </si>
  <si>
    <t>2" Aluminum Quick Coupler (Male Plug)</t>
  </si>
  <si>
    <t>2" Super Heavy Duty Bolt Clamps</t>
  </si>
  <si>
    <t>1.5" Super Heavy Duty Bolt Clamps</t>
  </si>
  <si>
    <t>1.5" "90°ELL FIPT" PVC elbow</t>
  </si>
  <si>
    <t>2" x 1.5" Bushing Reducer (MIPT x FIPT)</t>
  </si>
  <si>
    <t>Teflon Pipe Thread Tape (1" x 520")</t>
  </si>
  <si>
    <t>2" "90° ELL FIPT" Elbow</t>
  </si>
  <si>
    <t>1.5" Coupling (MIPT)</t>
  </si>
  <si>
    <t>2"x 300' Blue Layflat supply lines</t>
  </si>
  <si>
    <t>1.5" x 300' Blue Layflat header lines</t>
  </si>
  <si>
    <t>2" Aluminum Quick Coupler (Female x MIPT)</t>
  </si>
  <si>
    <t>2" PVC Coupling  (MIPT)</t>
  </si>
  <si>
    <t>2" Aluminum Quick Coupler (Male x MIPT)</t>
  </si>
  <si>
    <t xml:space="preserve">2" PVC TEE (FIPT) </t>
  </si>
  <si>
    <t>2" PVC Ball Valve Threaded (FIPT)</t>
  </si>
  <si>
    <t>Employee taxes: 7.65%</t>
  </si>
  <si>
    <t>Structure fixed cost:</t>
  </si>
  <si>
    <t>Other annual variable expenses:</t>
  </si>
  <si>
    <t>Tomato boxes</t>
  </si>
  <si>
    <t>Variable Input Costs</t>
  </si>
  <si>
    <t>Beans, Green</t>
  </si>
  <si>
    <t>Beets</t>
  </si>
  <si>
    <t>Brussels Sprouts</t>
  </si>
  <si>
    <t>Carrots</t>
  </si>
  <si>
    <t>Cauliflower</t>
  </si>
  <si>
    <t>Chard, Swiss</t>
  </si>
  <si>
    <t>Corn, Sweet</t>
  </si>
  <si>
    <t>Cucumber</t>
  </si>
  <si>
    <t>Eggplant</t>
  </si>
  <si>
    <t>Kohlrabi</t>
  </si>
  <si>
    <t>Leek</t>
  </si>
  <si>
    <t>Lettuce Heads</t>
  </si>
  <si>
    <t>Muskmelon</t>
  </si>
  <si>
    <t>Onion, Bulb</t>
  </si>
  <si>
    <t>Peppers</t>
  </si>
  <si>
    <t>Squash, Summer</t>
  </si>
  <si>
    <t>Squash, Winter</t>
  </si>
  <si>
    <t>Watermelon</t>
  </si>
  <si>
    <t>Herbs, Summer Annual</t>
  </si>
  <si>
    <t>Greens, Kale/Collards</t>
  </si>
  <si>
    <t>Roots, Radish/Turnip</t>
  </si>
  <si>
    <t>Potatoes, Sweet</t>
  </si>
  <si>
    <t>Tomatoes</t>
  </si>
  <si>
    <t>Total Cost</t>
  </si>
  <si>
    <t>Seed Quantity Needed per Third Acre (in  1000s)</t>
  </si>
  <si>
    <t>Average Price per 1000 seeds</t>
  </si>
  <si>
    <t>Price</t>
  </si>
  <si>
    <t>Crop</t>
  </si>
  <si>
    <t>Irrigation Supply Line Set-up (all fields)</t>
  </si>
  <si>
    <t>Irrigation Header Line Set-up</t>
  </si>
  <si>
    <t xml:space="preserve">Total annual expenses </t>
  </si>
  <si>
    <t>Basketweed</t>
  </si>
  <si>
    <t>Cover with Protek/Hoops</t>
  </si>
  <si>
    <t>Field Cultivate</t>
  </si>
  <si>
    <t>Fingerweed</t>
  </si>
  <si>
    <t>Scuffle hoe</t>
  </si>
  <si>
    <t>Seed living mulch</t>
  </si>
  <si>
    <t>Undersow clover</t>
  </si>
  <si>
    <t>Stake tomatoes</t>
  </si>
  <si>
    <t>Field-Prep</t>
  </si>
  <si>
    <t>Bury Drip</t>
  </si>
  <si>
    <t>Flailmow cover crop</t>
  </si>
  <si>
    <t>Stale seedbed</t>
  </si>
  <si>
    <t>Post-Harvest</t>
  </si>
  <si>
    <t>Field cultivate</t>
  </si>
  <si>
    <t>Lift plastic</t>
  </si>
  <si>
    <t>Remove drip tape</t>
  </si>
  <si>
    <t>Seed/Transplant</t>
  </si>
  <si>
    <t>Bucket</t>
  </si>
  <si>
    <t>BCS</t>
  </si>
  <si>
    <t>Forks</t>
  </si>
  <si>
    <t>Tractor</t>
  </si>
  <si>
    <t>Implement</t>
  </si>
  <si>
    <t>Irrigate: 18x</t>
  </si>
  <si>
    <t>Remove Plastic</t>
  </si>
  <si>
    <t>Flailmow living mulch: 3x</t>
  </si>
  <si>
    <t>Harvest</t>
  </si>
  <si>
    <t>Hay wagon</t>
  </si>
  <si>
    <t>Kubota L5030</t>
  </si>
  <si>
    <t>Kubota M9540</t>
  </si>
  <si>
    <t>IH Farmall 140</t>
  </si>
  <si>
    <t>Brussels Sprouts, pinch tops off</t>
  </si>
  <si>
    <t>Irrigation Supply Line Removal</t>
  </si>
  <si>
    <t>Irrigation Header Line and Fabric Removal</t>
  </si>
  <si>
    <t>162 cells</t>
  </si>
  <si>
    <t>128 cells</t>
  </si>
  <si>
    <t>72 cells</t>
  </si>
  <si>
    <t>50 cells</t>
  </si>
  <si>
    <t>Annual equipment cost per tray:</t>
  </si>
  <si>
    <t>Greenhouse overhead fixed cost</t>
  </si>
  <si>
    <t>Tomatoes, stake</t>
  </si>
  <si>
    <t xml:space="preserve">Potatoes, cultivate </t>
  </si>
  <si>
    <t>Tomatoes, tie</t>
  </si>
  <si>
    <t>Carrots, handweed</t>
  </si>
  <si>
    <t>Irrigate</t>
  </si>
  <si>
    <t>Field Cultivate plot ends: 2x</t>
  </si>
  <si>
    <t>Fingerweed: 2x</t>
  </si>
  <si>
    <t>Field-Prep:</t>
  </si>
  <si>
    <t>Harvest in field</t>
  </si>
  <si>
    <t>Remove plastic and drip</t>
  </si>
  <si>
    <t>Irrigate: 12x</t>
  </si>
  <si>
    <t>Scuffle hoe: 2x</t>
  </si>
  <si>
    <t>Handweed: 1.5x</t>
  </si>
  <si>
    <t xml:space="preserve">Harvest in field: 16x </t>
  </si>
  <si>
    <t>Remove Protek/Hoops</t>
  </si>
  <si>
    <t>Fertigate: 2x</t>
  </si>
  <si>
    <t>Harvest in field: 16x</t>
  </si>
  <si>
    <t>Scuffle-Hoe</t>
  </si>
  <si>
    <t>Stale Seedbed: 2x</t>
  </si>
  <si>
    <t>Till (or Disc)</t>
  </si>
  <si>
    <t>Basketweed: 2x</t>
  </si>
  <si>
    <t xml:space="preserve">Chop tops off </t>
  </si>
  <si>
    <t>Gravel</t>
  </si>
  <si>
    <t>Unit</t>
  </si>
  <si>
    <t>Cultivate with Lillistons: 2x</t>
  </si>
  <si>
    <t>Scuffle hoe: 3x</t>
  </si>
  <si>
    <t>Harvest in field:</t>
  </si>
  <si>
    <t>Basketweed: 3x</t>
  </si>
  <si>
    <t>Harvest in field, pull</t>
  </si>
  <si>
    <t>Harvest in field, pull/bunch</t>
  </si>
  <si>
    <t>Scallions</t>
  </si>
  <si>
    <t xml:space="preserve"> </t>
  </si>
  <si>
    <t>Ownership Costs</t>
  </si>
  <si>
    <t>Operating Costs</t>
  </si>
  <si>
    <t>Penn Creek 25' Boom Sprayer</t>
  </si>
  <si>
    <t>Custom 4' Field Cultivator</t>
  </si>
  <si>
    <t>Custom 4.5' Stale Seed Bedder</t>
  </si>
  <si>
    <t>Andros Engineering DripTape layer: 1 head</t>
  </si>
  <si>
    <t>MaterMacc VegiMacc Vacuum Seeder: 2 rows</t>
  </si>
  <si>
    <t>Mechanical 5000 Carousel Transplanter: 2 rows</t>
  </si>
  <si>
    <t>Kubota M9540, Kubota L5030</t>
  </si>
  <si>
    <t>Bury drip</t>
  </si>
  <si>
    <t>Lay plastic</t>
  </si>
  <si>
    <t>Garlic, separate cloves &amp; plant</t>
  </si>
  <si>
    <t xml:space="preserve">Potatoes, cut/chit &amp; plant </t>
  </si>
  <si>
    <t>Field Activity</t>
  </si>
  <si>
    <t xml:space="preserve">Spread compost </t>
  </si>
  <si>
    <t>Field Activity Labor and Machinery Costs</t>
  </si>
  <si>
    <t xml:space="preserve">Rain-Flo Model 1600 Water Wheel Transplanter </t>
  </si>
  <si>
    <t>Edwards 8' Flail Mower</t>
  </si>
  <si>
    <t>Tufline 2-Shank Subsoiler</t>
  </si>
  <si>
    <t>Field cultivate plot ends</t>
  </si>
  <si>
    <t xml:space="preserve">Rain-Flo Model 1600 Water Wheel Transplanter &amp;  9 Planter Wheels </t>
  </si>
  <si>
    <t>Harvest Conveyor</t>
  </si>
  <si>
    <t xml:space="preserve">IH Farmall 140 w/ Basket Weeder </t>
  </si>
  <si>
    <t xml:space="preserve">IH Farmall 140 Plastic Cultivator </t>
  </si>
  <si>
    <t>Seed buckwheat on plot edge</t>
  </si>
  <si>
    <t>Seed living mulch between plastic beds</t>
  </si>
  <si>
    <t>Flailmow living mulch between plastic beds</t>
  </si>
  <si>
    <t>Handweed direct seeded crops</t>
  </si>
  <si>
    <t>Assistant Manager</t>
  </si>
  <si>
    <t>MACHINERY</t>
  </si>
  <si>
    <t>Soil Management</t>
  </si>
  <si>
    <t>Bareground Production System</t>
  </si>
  <si>
    <t xml:space="preserve">Plasticulture Production System </t>
  </si>
  <si>
    <t>Pest Management and Fertility</t>
  </si>
  <si>
    <t>Potato Production System</t>
  </si>
  <si>
    <t>Maschio 7.75' B-230 Tiller</t>
  </si>
  <si>
    <t>Imants 5.9' 27-Series Spader</t>
  </si>
  <si>
    <t>Custom 8' Field Cultivator</t>
  </si>
  <si>
    <t>Composite Staff 1:4</t>
  </si>
  <si>
    <t>Salvage Value Percentage</t>
  </si>
  <si>
    <t>Annual Taxes, Insurance, Housing</t>
  </si>
  <si>
    <t>Beets, thin and handweed</t>
  </si>
  <si>
    <t>Cucurbits, initial cover with Protek/Hoops</t>
  </si>
  <si>
    <t>Tomatoes, remove string</t>
  </si>
  <si>
    <t>Tomatoes, remove T-posts</t>
  </si>
  <si>
    <t xml:space="preserve">Crop Management </t>
  </si>
  <si>
    <t>Subtotal Ownership Costs per Year</t>
  </si>
  <si>
    <t>Subtotal Ownership Costs per Hour</t>
  </si>
  <si>
    <t>Subtotal Operating Costs per Year</t>
  </si>
  <si>
    <t>Subtotal Operating Costs per Hour</t>
  </si>
  <si>
    <t>Fuel Cost</t>
  </si>
  <si>
    <t>Oil &amp; Lube Cost</t>
  </si>
  <si>
    <t>gallons</t>
  </si>
  <si>
    <t>Number of Units</t>
  </si>
  <si>
    <t>lbs</t>
  </si>
  <si>
    <t>See Table 1</t>
  </si>
  <si>
    <t>See Table 2</t>
  </si>
  <si>
    <t>Number of Units Needed</t>
  </si>
  <si>
    <t>See Table 3</t>
  </si>
  <si>
    <t>See Table 4</t>
  </si>
  <si>
    <t>Notes</t>
  </si>
  <si>
    <t>Organic Medium Red Clover</t>
  </si>
  <si>
    <t>Year</t>
  </si>
  <si>
    <t>25 lb Single-Use Tomato Boxes</t>
  </si>
  <si>
    <t>Number of Boxes Needed</t>
  </si>
  <si>
    <t xml:space="preserve">Twist Ties </t>
  </si>
  <si>
    <t>Organic Austrian Winter Peas</t>
  </si>
  <si>
    <t>Organic Cover Crop Oats</t>
  </si>
  <si>
    <t>Organic Winter Rye</t>
  </si>
  <si>
    <t>Organic Hairy Vetch</t>
  </si>
  <si>
    <t>Tiffany Teff Grass "w/NitroCoat Organic"</t>
  </si>
  <si>
    <t>Crimson Clover "w/NitroCoat Organic"</t>
  </si>
  <si>
    <t>Sorghum Sudangrass</t>
  </si>
  <si>
    <t>Japanese Millet</t>
  </si>
  <si>
    <t>Cowpeas</t>
  </si>
  <si>
    <t>Organic Gulf Annual Ryegrass</t>
  </si>
  <si>
    <t>Muskmelon (Cantaloupe)</t>
  </si>
  <si>
    <t>Teff Grass + Red Clover Mix</t>
  </si>
  <si>
    <t>Ryegrass + Red Clover Mix</t>
  </si>
  <si>
    <t>Japanese Millet + Cowpeas Mix</t>
  </si>
  <si>
    <t>Average of both mixes</t>
  </si>
  <si>
    <t>Average of Buckwheat, Sorghum Sudangrass, Japanese Millet + Cowpeas Mix</t>
  </si>
  <si>
    <t>Cost of Nature's Source Liquid Plant Food</t>
  </si>
  <si>
    <t>Greens, Salad</t>
  </si>
  <si>
    <t>Row Feet per Third Acre</t>
  </si>
  <si>
    <t xml:space="preserve">Number of Fertigations of Sodium Nitrate </t>
  </si>
  <si>
    <t xml:space="preserve">Number of Fertigations of Potassium Sulfate </t>
  </si>
  <si>
    <t>Quantity</t>
  </si>
  <si>
    <t>Irrigate: 15x</t>
  </si>
  <si>
    <t>Bury Drip-Tape</t>
  </si>
  <si>
    <t>Harvest in field: 12x</t>
  </si>
  <si>
    <t>Harvest in field: 3x</t>
  </si>
  <si>
    <t>Pre-Crop:</t>
  </si>
  <si>
    <t>Cost of slips</t>
  </si>
  <si>
    <t>Fertigate: 4x</t>
  </si>
  <si>
    <t>undersown in fall brassicas</t>
  </si>
  <si>
    <t>Harvest with harvest conveyor</t>
  </si>
  <si>
    <t>Harvest Conveyor wagon</t>
  </si>
  <si>
    <t>Harvest in field with conveyor harvestor</t>
  </si>
  <si>
    <t>Drill summer cover crop</t>
  </si>
  <si>
    <t>Summer cover crop seed</t>
  </si>
  <si>
    <t>Flailmow summer cover crop</t>
  </si>
  <si>
    <t>Buckwheat seed for edge of field</t>
  </si>
  <si>
    <t>Living mulch seed</t>
  </si>
  <si>
    <t>Winter cover crop seed</t>
  </si>
  <si>
    <t>Sodium Nitrate (16-0-0) soluble organic fertilizer</t>
  </si>
  <si>
    <t>Potassium Sulfate (0-0-54) soluble organic fertilizer</t>
  </si>
  <si>
    <t>Drip-tape</t>
  </si>
  <si>
    <t>Current Age of Machine</t>
  </si>
  <si>
    <t>NatureSafe fertilizer</t>
  </si>
  <si>
    <t>Harvest in field: 2x</t>
  </si>
  <si>
    <t xml:space="preserve">Harvest in field: 8x </t>
  </si>
  <si>
    <t>Harvest with hay wagon</t>
  </si>
  <si>
    <t>Transplant on plastic mulch</t>
  </si>
  <si>
    <t>Transplant on bareground</t>
  </si>
  <si>
    <t>Direct seed on bareground</t>
  </si>
  <si>
    <t>Separate cloves and plant into plastic mulch</t>
  </si>
  <si>
    <t>NatureSafe (10-2-8) pelleted poultry litter fertilizer: bareground</t>
  </si>
  <si>
    <t>NatureSafe (10-2-8) pelleted poultry litter fertilizer: potatoes</t>
  </si>
  <si>
    <t>Spray with boom sprayer</t>
  </si>
  <si>
    <t>Spray with boom sprayer: 3x</t>
  </si>
  <si>
    <t>Spray with boom sprayer: 4x</t>
  </si>
  <si>
    <t>Spray with boom sprayer: 2x</t>
  </si>
  <si>
    <t>Spray with boom sprayer: 5x</t>
  </si>
  <si>
    <t>Spray with boom sprayer: 6x</t>
  </si>
  <si>
    <t>Eggplant &amp; Peppers</t>
  </si>
  <si>
    <t>Average Number of Times Sprayed per Year</t>
  </si>
  <si>
    <t xml:space="preserve">Onions &amp; Leeks </t>
  </si>
  <si>
    <t>Squash, Summer &amp; Cucumbers &amp; Watermelon</t>
  </si>
  <si>
    <t>Irrigate: 10x</t>
  </si>
  <si>
    <t>Irrigate: 25x</t>
  </si>
  <si>
    <t>Basketweed: 4x</t>
  </si>
  <si>
    <t>Cultivate plastic: 2x</t>
  </si>
  <si>
    <t xml:space="preserve">Scuffle hoe </t>
  </si>
  <si>
    <t>Cucurbits, remove Protek/Hoops</t>
  </si>
  <si>
    <t>Protek/Hoops/Net Bags</t>
  </si>
  <si>
    <t>Remove and re-cover with Protek/Hoops</t>
  </si>
  <si>
    <t>Handweed plastic mulch holes</t>
  </si>
  <si>
    <t>Handweed plastic mulch holes: 2x</t>
  </si>
  <si>
    <t>Cultivate plastic mulch</t>
  </si>
  <si>
    <t>Cultivate plastic mulch: 2x</t>
  </si>
  <si>
    <t>Cultivate plasticmulch: 2x</t>
  </si>
  <si>
    <t>Phytamin (4-3-4) soluble fish fertilizer</t>
  </si>
  <si>
    <t>Wash/sort/pack in packing shed</t>
  </si>
  <si>
    <t>Plastic produce bags</t>
  </si>
  <si>
    <t>Paper produce sacks</t>
  </si>
  <si>
    <t>Seed Quantity Needed per Third Acre</t>
  </si>
  <si>
    <t xml:space="preserve">Sucker and prune </t>
  </si>
  <si>
    <t>Tomatoes, sucker and prune</t>
  </si>
  <si>
    <t>Plastic produce bags (for half the crop)</t>
  </si>
  <si>
    <t>Twist ties (for half the crop)</t>
  </si>
  <si>
    <t>Twist ties</t>
  </si>
  <si>
    <t>Wash/sort/pack in packing shed: 3x</t>
  </si>
  <si>
    <t>Wash/sort/pack in packing shed: 12x</t>
  </si>
  <si>
    <t>Wash/sort/pack in packing shed: 8x</t>
  </si>
  <si>
    <t>Sort/pack in packing shed</t>
  </si>
  <si>
    <t>Wash/sort/pack in packing shed: 2x</t>
  </si>
  <si>
    <t>Sort/pack in packing shed:</t>
  </si>
  <si>
    <t>Rack/sort/pack in packing shed</t>
  </si>
  <si>
    <t>Sor/pack in packing shed: 8x</t>
  </si>
  <si>
    <t>Plant production system:</t>
  </si>
  <si>
    <t>Unit area:</t>
  </si>
  <si>
    <t>Beans, harvest with Pixall</t>
  </si>
  <si>
    <t>Carrots, dig with mulch lifter</t>
  </si>
  <si>
    <t>Garlic or Sweet Potatoes, dig with mulch lifter</t>
  </si>
  <si>
    <t>Potatoes, dig with Willsie toolbar</t>
  </si>
  <si>
    <t>price/gallon (includes water charge</t>
  </si>
  <si>
    <t>fee</t>
  </si>
  <si>
    <t>taxes</t>
  </si>
  <si>
    <t>Total Cost of Irrigation Water per Third Acre</t>
  </si>
  <si>
    <t>Cost per Gallon of Irrigation Water</t>
  </si>
  <si>
    <t>Total Gallons of Irrigation Water per Third Acre</t>
  </si>
  <si>
    <t>Flow Rate (Gallons of Irrigation Water / Hour / Row Foot)</t>
  </si>
  <si>
    <t>Total Hours Irrigated per Third Acre</t>
  </si>
  <si>
    <t>Hours / Day of Irrigation</t>
  </si>
  <si>
    <t>Table 2: NUMBER OF IRRIGATIONS AND IRRIGATION WATER COST CALCULATIONS PER THIRD ACRE</t>
  </si>
  <si>
    <t xml:space="preserve">Number of Harvests </t>
  </si>
  <si>
    <t>Cost Category</t>
  </si>
  <si>
    <t>Summary of Calculations</t>
  </si>
  <si>
    <t>Cucumbers</t>
  </si>
  <si>
    <t>Leeks</t>
  </si>
  <si>
    <t>Lettuce, Head</t>
  </si>
  <si>
    <t>Onions, Bulb</t>
  </si>
  <si>
    <t>Net Anchor Bags</t>
  </si>
  <si>
    <t>Labor to fill Net Anchor Bags with Gravel</t>
  </si>
  <si>
    <t>Labor to bend Hoops</t>
  </si>
  <si>
    <t>Amortized cost over 5 years</t>
  </si>
  <si>
    <t>Agribon 19 Row Cover, 83" x 1000ft</t>
  </si>
  <si>
    <t>Row Cover costs are halved because it is only associated with Spring planting</t>
  </si>
  <si>
    <t>Amortized cost over 3 years</t>
  </si>
  <si>
    <t xml:space="preserve">Quality #2100 white twine and 6' Studded Steel T-Posts Costs per Third Acre </t>
  </si>
  <si>
    <t xml:space="preserve">Quality #2100 white twine </t>
  </si>
  <si>
    <t xml:space="preserve">6' Studded Steel T-Posts  </t>
  </si>
  <si>
    <t>Winter Cover Crop Seed Cost per Third Acre</t>
  </si>
  <si>
    <t>Summer Cover Crop Seed Cost per Third Acre</t>
  </si>
  <si>
    <t>Direct Seed Costs per Third Acre</t>
  </si>
  <si>
    <t>Living Mulch Seed Cost per Third Acre</t>
  </si>
  <si>
    <t>Agribon 19 Row Cover Cost per Third Acre</t>
  </si>
  <si>
    <t>Soluble Organic Fertilizer Cost per Fertigation on a Third Acre</t>
  </si>
  <si>
    <t xml:space="preserve">NatureSafe (10-2-8) Pelleted Poultry Litter Fertilizer Cost per Third Acre  </t>
  </si>
  <si>
    <t>Average price of 2014 and 2015 UKCSA costs</t>
  </si>
  <si>
    <t xml:space="preserve">Average price of 2014 and 2015 UKCSA costs </t>
  </si>
  <si>
    <t>Number of Row Feet Sprayed</t>
  </si>
  <si>
    <t xml:space="preserve">Total Amount Spent on Product </t>
  </si>
  <si>
    <t>Average cost of living mulch seed mixes</t>
  </si>
  <si>
    <t>Number of Gallons Used in 2015</t>
  </si>
  <si>
    <t>Total Cost in 2015</t>
  </si>
  <si>
    <t xml:space="preserve">Total Number of Third Acres of All Crops that Used Sani-Date in 2015 </t>
  </si>
  <si>
    <t>Sani-Date 5.0 Wash Water Sanitizer</t>
  </si>
  <si>
    <t>Sani-Date 5.0 Wash Water Sanitizer Cost per Third Acre</t>
  </si>
  <si>
    <t>Amount spent on Plastic Produce Bags</t>
  </si>
  <si>
    <t>Price/Row Foot</t>
  </si>
  <si>
    <t>Number of Row Feet of Crops Using  Bags</t>
  </si>
  <si>
    <t>Average Row Feet/Third Acre</t>
  </si>
  <si>
    <t>Plastic Produce Bags, unprinted 12" x 20"</t>
  </si>
  <si>
    <t>Average cost</t>
  </si>
  <si>
    <t>Number of Bags Used</t>
  </si>
  <si>
    <t>Number of Row Feet of Crops Using Bags</t>
  </si>
  <si>
    <t>Plastic Produce Bags Cost per Third Acre</t>
  </si>
  <si>
    <t>Twist Ties Cost per Third Acre</t>
  </si>
  <si>
    <t>25 lb Single-Use Tomato Boxes Cost per Third Acre</t>
  </si>
  <si>
    <t>Paper Produce Sacks Cost per Third Acre</t>
  </si>
  <si>
    <t xml:space="preserve"> Comparable New List Price</t>
  </si>
  <si>
    <t>Repair Factor 1</t>
  </si>
  <si>
    <t>Repair Factor 2</t>
  </si>
  <si>
    <t>Annual Repairs using 2 Repair Factor Approach</t>
  </si>
  <si>
    <t>Tractors</t>
  </si>
  <si>
    <t xml:space="preserve">Implements by Category </t>
  </si>
  <si>
    <t>Machinery Data</t>
  </si>
  <si>
    <t>Equipment Cost</t>
  </si>
  <si>
    <t>Potting Media, Charlie's Compost, Nature's Source Liquid Plant Food Cost</t>
  </si>
  <si>
    <t>Row Feet / Third Acre</t>
  </si>
  <si>
    <t>Tray Size</t>
  </si>
  <si>
    <t>Cubic Feet Needed</t>
  </si>
  <si>
    <t>Number of Black Gold Bags Needed</t>
  </si>
  <si>
    <t>Total Cost of Black Gold</t>
  </si>
  <si>
    <t>Landscape Fabric</t>
  </si>
  <si>
    <t>Pesticide and Fungicide Costs per Third Acre per Year</t>
  </si>
  <si>
    <t>Water expense</t>
  </si>
  <si>
    <t>Variable Harvest Machinery Costs</t>
  </si>
  <si>
    <t xml:space="preserve">Fall planting only </t>
  </si>
  <si>
    <t>Undersown medium red clover seed</t>
  </si>
  <si>
    <t>cost per third acre</t>
  </si>
  <si>
    <t>cost per third acre per year with 6 years of useful life</t>
  </si>
  <si>
    <t>Irrigation Supply and Irrigation Set-Up Labor Costs per Third Acre</t>
  </si>
  <si>
    <t>Manifold Connection Cost</t>
  </si>
  <si>
    <r>
      <t xml:space="preserve">Manifold Cost </t>
    </r>
    <r>
      <rPr>
        <i/>
        <sz val="12"/>
        <rFont val="Arial"/>
      </rPr>
      <t>(see above)</t>
    </r>
  </si>
  <si>
    <r>
      <t>TOTAL Manifold Connection Cost</t>
    </r>
    <r>
      <rPr>
        <i/>
        <sz val="12"/>
        <rFont val="Arial"/>
      </rPr>
      <t xml:space="preserve"> (used below)</t>
    </r>
  </si>
  <si>
    <t>See Table 5</t>
  </si>
  <si>
    <t>See Table 6</t>
  </si>
  <si>
    <t>See Table 7</t>
  </si>
  <si>
    <t>Irrigation supply cost</t>
  </si>
  <si>
    <t>Irrigation set-up labor cost</t>
  </si>
  <si>
    <t>Transplant production costs</t>
  </si>
  <si>
    <t xml:space="preserve"> 6' studded steel T-posts</t>
  </si>
  <si>
    <t>Quality #2100 white twine</t>
  </si>
  <si>
    <t>You-Pick</t>
  </si>
  <si>
    <t>Stake cherry tomatoes</t>
  </si>
  <si>
    <t xml:space="preserve">Fertility Input Costs </t>
  </si>
  <si>
    <t xml:space="preserve">Cover Crop Seed Costs </t>
  </si>
  <si>
    <t>Actual purchase price was used when data was available, otherwise a value was estimated based on age of the machine.</t>
  </si>
  <si>
    <t xml:space="preserve">Actual purchase year was used when data was available, otherwise purchase year was estimated based on age of the machine. </t>
  </si>
  <si>
    <t>Comparable New List Price</t>
  </si>
  <si>
    <t xml:space="preserve">Comparable machinery, either exact models or similar models were researched for new list prices using information from TractorData.com or other local retailers. </t>
  </si>
  <si>
    <t>Actual model year was used when data was available, otherwise model year was estimated.</t>
  </si>
  <si>
    <t>Formula = Purchase Price * Salvage Value Percentage</t>
  </si>
  <si>
    <t>Formula = (Purchase Price + Salvage Value)/2</t>
  </si>
  <si>
    <t>Formula = Purchase Price - Salvage Value</t>
  </si>
  <si>
    <t>Formula = Annual Depreciation + Annual Interest + Annual Taxes, Insurance, Housing</t>
  </si>
  <si>
    <t>Formula = Subtotal Ownership Costs per Year / Annual Use</t>
  </si>
  <si>
    <t>Formula = Repair &amp; Maintenance Costs + Fuel + Oil &amp; Lube</t>
  </si>
  <si>
    <t>Formula = Subtotal Operating Costs per Year / Annual Use</t>
  </si>
  <si>
    <t xml:space="preserve">Formula = Purchase Year - Model Year </t>
  </si>
  <si>
    <t>Formula = 2015 - Model Year unless it was purchased in 2015, then a value of 0.5 was chosen</t>
  </si>
  <si>
    <t>Machinery Data (Table 1 and 2)</t>
  </si>
  <si>
    <t>Variable Operating Costs (Table 1)</t>
  </si>
  <si>
    <t>Fixed Ownership Costs (Table 2)</t>
  </si>
  <si>
    <t>Total Variable Costs</t>
  </si>
  <si>
    <t>Total Fixed Costs</t>
  </si>
  <si>
    <t>CSU Extension (2008). "The Cost of Owning and Operating Farm Machinery" Agriculture and Business Management Notes.  Colorado State University Extension.  Contact: Norm Dalsted, Department of Agriculture &amp; Resource Economics, Colorado State University.  Updated August 2008. http://www.coopext.colostate.edu/ABM/abmcostofmachinery.pdf</t>
  </si>
  <si>
    <t>Formula = Useful Life Machine Hours / Annual Use Hours</t>
  </si>
  <si>
    <t>A more realistic useful life in years was chosen based upon previous column</t>
  </si>
  <si>
    <t>Formula = Adjusted Useful Life (Years) - Current Age of the Machine</t>
  </si>
  <si>
    <t>Using Edwards 2015 as a guide, salvage values were chosen using annual hours, age of the machine, horsepower, and implement type.</t>
  </si>
  <si>
    <t>Iowa State Extension (2015). "Estimating Farm Machinery Cost" Iowa State University Extension and Outreach.  William Edwards. Updated May (2015).  https://www.extension.iastate.edu/agdm/crops/html/a3-29.html</t>
  </si>
  <si>
    <t>Direct References:</t>
  </si>
  <si>
    <t>Formula = 5% of Average Value (Edwards, 2015)</t>
  </si>
  <si>
    <t xml:space="preserve">Formula = 1% of Average Value (Edwards, 2015) </t>
  </si>
  <si>
    <t>Formula = 15% of Repair and Maintenance Cost (Edwards, 2015)</t>
  </si>
  <si>
    <t>Formula for Diesel Engines = (0.044*PTOhp)(annual use*fuel price) and for Gas Engines = (0.060*PTOhp)(annual use*fuel price) (Edwards, 2015)</t>
  </si>
  <si>
    <t>Using the formula given in CSU Extension (2008), estimated repair costs were calculated using the formula = (new cost *((repair factor 1*(((annual hours of use * current age of the machine)/1000)^ repair factor 2))/current age of the machine.</t>
  </si>
  <si>
    <t>Brussels sprouts</t>
  </si>
  <si>
    <t>Greens, Kale/Collard</t>
  </si>
  <si>
    <t>Herb, Summer Annual</t>
  </si>
  <si>
    <t xml:space="preserve">Potatoes, Sweet </t>
  </si>
  <si>
    <t>Pesticides/Fungicides</t>
  </si>
  <si>
    <t>Plastic Mulch</t>
  </si>
  <si>
    <t>Number of solanaceae trays</t>
  </si>
  <si>
    <t>Solanaceae additional cost / 50-cell tray</t>
  </si>
  <si>
    <t>Labor cost / tray (162, 128, 72 trays)</t>
  </si>
  <si>
    <t>Labor cost / tray for solanaceae crops only (50 cell flats)</t>
  </si>
  <si>
    <t>Additional labor hours to pot-up solanaceae crops to 50-cell trays</t>
  </si>
  <si>
    <t>Subtotal</t>
  </si>
  <si>
    <t>FIXED CROP PRODUCTION COSTS</t>
  </si>
  <si>
    <t>ACRES</t>
  </si>
  <si>
    <t>Transplant Production Costs</t>
  </si>
  <si>
    <t>Back to Workbook Index</t>
  </si>
  <si>
    <t xml:space="preserve">TOTAL VARIABLE CROP PRODUCTION COSTS </t>
  </si>
  <si>
    <t>TOTAL FIXED CROP PRODUCTION COSTS</t>
  </si>
  <si>
    <t>TOTAL CROP PRODUCTION COSTS</t>
  </si>
  <si>
    <t>PRE-HARVEST COSTS</t>
  </si>
  <si>
    <t>CROP PRODUCTION COSTS</t>
  </si>
  <si>
    <t>TOTAL VARIABLE CROP PRODUCTION COSTS</t>
  </si>
  <si>
    <t xml:space="preserve">TOTAL </t>
  </si>
  <si>
    <t>Irrigation Costs</t>
  </si>
  <si>
    <t>Diesel ($/gallon)=</t>
  </si>
  <si>
    <t>Gasoline ($/gallon)=</t>
  </si>
  <si>
    <t>Age of the Machine when Purchased</t>
  </si>
  <si>
    <t>Useful Life (yrs)</t>
  </si>
  <si>
    <t xml:space="preserve">Useful Life Machine Hours </t>
  </si>
  <si>
    <t xml:space="preserve">Years of Ownership Remaining </t>
  </si>
  <si>
    <t>Annual Use (hrs)</t>
  </si>
  <si>
    <t>Current Age of Machine (yrs)</t>
  </si>
  <si>
    <t>Age of Machine When Purchased (yrs)</t>
  </si>
  <si>
    <t>Subtotal per Year</t>
  </si>
  <si>
    <t>Subtotal per Hour</t>
  </si>
  <si>
    <t>Repair factors were assigned to UKCSA machinery using CSU Extension 2008 data</t>
  </si>
  <si>
    <t>VARIABLE INPUT COSTS PER THIRD ACRE</t>
  </si>
  <si>
    <t xml:space="preserve">TRANSPLANT PRODUCTION COSTS  PER THIRD ACRE </t>
  </si>
  <si>
    <t>IRRIGATION COSTS PER THIRD ACRE</t>
  </si>
  <si>
    <t>see Table 1</t>
  </si>
  <si>
    <t>see Table 2</t>
  </si>
  <si>
    <t>Input</t>
  </si>
  <si>
    <t>Price / Box</t>
  </si>
  <si>
    <t>Cost / Third Acre</t>
  </si>
  <si>
    <t>Price / 3000 Twist Ties</t>
  </si>
  <si>
    <t>Price / Twist Tie</t>
  </si>
  <si>
    <t>Average Number Needed / Harvest @ 1 Twist Tie / 1.5 Row Feet</t>
  </si>
  <si>
    <t>Price / 10 Gallons</t>
  </si>
  <si>
    <t>Total Cost @ $0.09 / bag</t>
  </si>
  <si>
    <t>Average Price / Row Foot</t>
  </si>
  <si>
    <t>Average Number of Times Sprayed / Year</t>
  </si>
  <si>
    <t>Price / ft</t>
  </si>
  <si>
    <t>Price / 1000 ft roll</t>
  </si>
  <si>
    <t>Price / 6300 ft</t>
  </si>
  <si>
    <t>Price / Unit</t>
  </si>
  <si>
    <t>Price / Roll</t>
  </si>
  <si>
    <t>Feet / Roll</t>
  </si>
  <si>
    <t>Price / 50 units</t>
  </si>
  <si>
    <t>Average cost of two grass/legume/clover mixes</t>
  </si>
  <si>
    <t>Average cost of typical summer cover crop mixes</t>
  </si>
  <si>
    <t>Average cost to sanitize wash water for Broccoli; Chard, Swiss; Greens, Salad; Greens, Kale/Collard; Lettuce Heads</t>
  </si>
  <si>
    <t>For selling #2 tomatoes in 25lb boxes as extras</t>
  </si>
  <si>
    <t>for seeding beneficial insect habitat strip on edge of fields</t>
  </si>
  <si>
    <t>In-row spacing (inches)</t>
  </si>
  <si>
    <t>Source: Richard Wiswall's "Organic Farmer's Business Handbook"</t>
  </si>
  <si>
    <t>Summary: Production Cost per Transplant Tray</t>
  </si>
  <si>
    <t>24 x 72 ft frame = $3500, installation (80 hrs) = $1040</t>
  </si>
  <si>
    <t>Frame and installation cost</t>
  </si>
  <si>
    <t>Furnace = $2000, fans = $800, installation (30 hrs) = $377</t>
  </si>
  <si>
    <t>Benches = $500, plumbing = $400, irrigation = $400</t>
  </si>
  <si>
    <t>Furnace, fans and installation</t>
  </si>
  <si>
    <t>Benches, plumbing and irrigation</t>
  </si>
  <si>
    <t>Poly and installation cost</t>
  </si>
  <si>
    <t>Years of useful life</t>
  </si>
  <si>
    <t>Notes:</t>
  </si>
  <si>
    <t>Item</t>
  </si>
  <si>
    <t>In-row Spacing</t>
  </si>
  <si>
    <t>Total annual expense / flat</t>
  </si>
  <si>
    <t>Total cost / tray:</t>
  </si>
  <si>
    <t>2014 (Hrs)</t>
  </si>
  <si>
    <t>2015 (Hrs)</t>
  </si>
  <si>
    <t>Greenhouse Activity (total labor hrs / year)</t>
  </si>
  <si>
    <t>x</t>
  </si>
  <si>
    <t>DS</t>
  </si>
  <si>
    <t>T</t>
  </si>
  <si>
    <t>Lilliston rolling cultivator/side-dresser</t>
  </si>
  <si>
    <t xml:space="preserve">ProtekNet Insect Exclusion Netting, 60 gram 26' x 328' </t>
  </si>
  <si>
    <t>ProtekNet Insect Exclusion Netting, EMT Electrical Conduit Steel Hoops, and Net Anchor Bags with Gravel Cost per Third Acre</t>
  </si>
  <si>
    <t>cost per harvest</t>
  </si>
  <si>
    <t xml:space="preserve">IH Farmall 140 w/ Buddingh Basket Weeder </t>
  </si>
  <si>
    <t xml:space="preserve">Number of Fertigations of Phytamin </t>
  </si>
  <si>
    <t>Paper Produce Sacks, brown 8 1/4" x 5 15/16" x 13 3/8" (potatoes)</t>
  </si>
  <si>
    <t>Paper Produce Sacks, brown 8 1/4" x 5 15/16" x 13 3/8" (sweet potatoes)</t>
  </si>
  <si>
    <t>Average cost, sweet potatoes</t>
  </si>
  <si>
    <t>Average cost, potatoes</t>
  </si>
  <si>
    <t>Average cost for both potatoes and sweet potatoes</t>
  </si>
  <si>
    <t>Potatoes and sweet potatoes only</t>
  </si>
  <si>
    <t xml:space="preserve">TOTAL COST for 18.59 third acre fields </t>
  </si>
  <si>
    <t>Table 2 - IRRIGATION SET-UP LABOR COST PER THIRD ACRE</t>
  </si>
  <si>
    <t>TOTAL Irrigation Set-Up Labor Costs per Third Acre</t>
  </si>
  <si>
    <t>TABLE 1: LABOR COST PER HOUR</t>
  </si>
  <si>
    <t>TABLE 2: VARIABLE MACHINERY COST PER HOUR</t>
  </si>
  <si>
    <t>TABLE 3: FIXED MACHINERY COST PER HOUR</t>
  </si>
  <si>
    <t>Table 1: FERTILITY INPUT COSTS</t>
  </si>
  <si>
    <t>Table 4: COVER CROP SEED COSTS</t>
  </si>
  <si>
    <t>Table 5: DIRECT SEED COSTS</t>
  </si>
  <si>
    <t xml:space="preserve">Table 6: PESTICIDE AND FUNGICIDE COSTS </t>
  </si>
  <si>
    <t>Table 7: HARVEST SUPPLY COSTS</t>
  </si>
  <si>
    <t>Table 1: IRRIGATION SUPPLY COSTS PER THIRD ACRE</t>
  </si>
  <si>
    <t xml:space="preserve">Harvest Supply Costs </t>
  </si>
  <si>
    <t>Cost / Third Acre @ $31 / bag</t>
  </si>
  <si>
    <t>Table 1: TRANSPLANT PRODUCTION COST PER THIRD ACRE</t>
  </si>
  <si>
    <t xml:space="preserve">Irrigation Supply Costs for 18.59 Third Acre Fields </t>
  </si>
  <si>
    <t>Custom 4' Stale Seed Bedder</t>
  </si>
  <si>
    <t>2x Phytamin (4-3-4)</t>
  </si>
  <si>
    <t>2x Sodium Nitrate (16-0-0)</t>
  </si>
  <si>
    <t>2x Potassium Sulfate (0-0-54)</t>
  </si>
  <si>
    <t xml:space="preserve">2x Sodium Nitrate (16-0-0) </t>
  </si>
  <si>
    <t xml:space="preserve"> 2x Potassium Sulfate (0-0-54) </t>
  </si>
  <si>
    <t xml:space="preserve">2x Potassium Sulfate (0-0-54) </t>
  </si>
  <si>
    <t>1x Potassium Sulfate (0-0-54)</t>
  </si>
  <si>
    <t>1x Phytamin (4-3-4)</t>
  </si>
  <si>
    <t>Harvest in field with conveyor harvester</t>
  </si>
  <si>
    <t>Harvest in field using Willsie planter/harvester</t>
  </si>
  <si>
    <t>Harvest in field using conveyor harvester</t>
  </si>
  <si>
    <t>Tye Pasture Pleaser No-till Grain Drill</t>
  </si>
  <si>
    <t>TOTAL</t>
  </si>
  <si>
    <t>Budget Worksheet 1</t>
  </si>
  <si>
    <t>Budget Worksheet 2</t>
  </si>
  <si>
    <t>Budget Worksheet 3</t>
  </si>
  <si>
    <t>Budget Worksheet 4</t>
  </si>
  <si>
    <t>Budget Worksheet 5</t>
  </si>
  <si>
    <t>Budget Worksheet 6</t>
  </si>
  <si>
    <t>Notes/Source</t>
  </si>
  <si>
    <t>Total labor cost</t>
  </si>
  <si>
    <t>Labor cost linked to Budget Worksheet 1:Table 1 "Labor Cost per Hour"</t>
  </si>
  <si>
    <t>Total additional labor cost</t>
  </si>
  <si>
    <t>Used for flea beetle control on eggplant and cucumber beetle and squash bug control on cucurbits</t>
  </si>
  <si>
    <t>Cost associated with eggplant and all cucurbits: cucumbers, muskmelon (cantaloupe), summer squash, winter squash, and watermelon</t>
  </si>
  <si>
    <t xml:space="preserve">Cost associated with radish/turnip roots for spring production only </t>
  </si>
  <si>
    <t>Welter Honey and Seed Company, Onslow, IA</t>
  </si>
  <si>
    <t>Tomatoes are supported with string from both sides with 8 layers of string on 8' bed spacing: source-Martin's Produce Supply, Liberty, KY</t>
  </si>
  <si>
    <t>T-Posts are placed every 3 feet with in-row plant spacing at 18" on 8' bed spacing: source- SouthernStates.com</t>
  </si>
  <si>
    <t>Woodford Feed and Seed, Versailles, KY</t>
  </si>
  <si>
    <t>Johnny's Selected Seed, Seedway, High Mowing Organic Seeds</t>
  </si>
  <si>
    <r>
      <rPr>
        <sz val="12"/>
        <rFont val="Arial"/>
        <family val="2"/>
      </rPr>
      <t xml:space="preserve">Product Amount Source: </t>
    </r>
    <r>
      <rPr>
        <i/>
        <sz val="12"/>
        <rFont val="Arial"/>
      </rPr>
      <t>UKCSA Spray Log, Price Source: Seven Springs Farm Organic Farming and Gardening Supply, Check, VA</t>
    </r>
  </si>
  <si>
    <t>Costs associated with: Broccoli; Chard, Swiss; Greens, Salad; Greens, Kale/Collard; Lettuce Heads, source: UKCSA expense records</t>
  </si>
  <si>
    <t>Costs associated with 2 harvests of Salad Greens, 1 harvest of all Carrots, half of all planted Beets, and all Green Beans, source: UKCSA expense records</t>
  </si>
  <si>
    <t>source: UKCSA share content and expense records</t>
  </si>
  <si>
    <t xml:space="preserve">Cost associated with half of beets, Swiss chard, kale/collard greens, summer annual herbs, leeks, radish/turnip roots, and scallions, source: UKCSA expense records     </t>
  </si>
  <si>
    <t xml:space="preserve">Approximately 80 25lb boxes of #2 tomatoes sold to CSA members at an extra cost of $25 / box, source: UKCSA expense records  </t>
  </si>
  <si>
    <t>4 hoops bent per minute = 1.4 hrs to bend 346 hoops, expert opinion</t>
  </si>
  <si>
    <t>Used for flea beetle control, source: Martin's Produce Supply, Liberty, KY</t>
  </si>
  <si>
    <t xml:space="preserve">Direct-Seed Costs </t>
  </si>
  <si>
    <t>Pesticide and Fungicide Costs per Year</t>
  </si>
  <si>
    <t>Table 2: LABOR COST PER TRANSPLANT TRAY</t>
  </si>
  <si>
    <t xml:space="preserve">Table 3: PRODUCTION COST PER TRANSPLANT TRAY </t>
  </si>
  <si>
    <t>Number of Trays Required</t>
  </si>
  <si>
    <t>Seed trays</t>
  </si>
  <si>
    <t>Thin/Trim</t>
  </si>
  <si>
    <t xml:space="preserve">Labor cost to seed,  thin, trim, fertigate, move trays, wash trays and water plants </t>
  </si>
  <si>
    <t>"Solanaceae" refers to tomatoes, eggplant and pepper crops</t>
  </si>
  <si>
    <t xml:space="preserve">Number of Trays Needed </t>
  </si>
  <si>
    <t xml:space="preserve">Tray need, linked to cell D92. </t>
  </si>
  <si>
    <t>Landscape fabric for front plot-ends</t>
  </si>
  <si>
    <t>POST-CROP COSTS</t>
  </si>
  <si>
    <t>Post Crop:</t>
  </si>
  <si>
    <t>VARIABLE AND FIXED CROP PRODUCTION COST SUMMARY</t>
  </si>
  <si>
    <t>VARIABLE PRE-HARVEST AND POST-CROP COSTS</t>
  </si>
  <si>
    <t>Subtotal Variable Pre-Harvest and Post-Crop Costs</t>
  </si>
  <si>
    <t>Variable Pre-Harvest and Post-Crop Machinery Costs</t>
  </si>
  <si>
    <t>Variable Pre-Harvest and Post-Crop Labor Costs</t>
  </si>
  <si>
    <t>Variable Pre-Harvest and Post-Crop Input Costs</t>
  </si>
  <si>
    <t>Variable Harvest Input Costs</t>
  </si>
  <si>
    <t>Subtotal Variable Harvest Costs</t>
  </si>
  <si>
    <t>Fixed Pre-Harvest and Post-Crop Machinery Costs</t>
  </si>
  <si>
    <t>Fixed Harvest Machinery Costs</t>
  </si>
  <si>
    <t xml:space="preserve">      Subtotal Variable Pre-Harvest and Post-Crop Costs</t>
  </si>
  <si>
    <t xml:space="preserve">          Seeds and Transplants</t>
  </si>
  <si>
    <t xml:space="preserve">          Fertility</t>
  </si>
  <si>
    <t xml:space="preserve">          Plastic and Drip-Tape Inputs</t>
  </si>
  <si>
    <t xml:space="preserve">          Cover Crop Seed Inputs</t>
  </si>
  <si>
    <t xml:space="preserve">          Pesticide/Fungicide Inputs</t>
  </si>
  <si>
    <t>Variable Harvest and Wash/Pack Labor Costs</t>
  </si>
  <si>
    <t xml:space="preserve">      Fixed Pre-Harvest and Post-Crop Machinery Costs</t>
  </si>
  <si>
    <t xml:space="preserve">      Fixed Harvest Machinery Costs</t>
  </si>
  <si>
    <t>Transplant production</t>
  </si>
  <si>
    <t xml:space="preserve">Transplant seed </t>
  </si>
  <si>
    <t>Transplant seed</t>
  </si>
  <si>
    <t>Table 4: TRANSPLANT SEED COST</t>
  </si>
  <si>
    <t>Direct-planted seed</t>
  </si>
  <si>
    <t>All seed prices came from an average price of seed most likely to be used by the UKCSA from Johnny's Selected Seed</t>
  </si>
  <si>
    <t>Number of Irrigations and Fertigations per Third Acre</t>
  </si>
  <si>
    <t>Number of Irrigation Events</t>
  </si>
  <si>
    <t xml:space="preserve">Agribon 19 row cover </t>
  </si>
  <si>
    <t>6' studded steel T-posts</t>
  </si>
  <si>
    <t>Hourly wage rate:</t>
  </si>
  <si>
    <t>Years of Ownership Remaining</t>
  </si>
  <si>
    <r>
      <t>Data extrapolated from 2015 UKCSA Activity Log farming 6.25</t>
    </r>
    <r>
      <rPr>
        <sz val="12"/>
        <color theme="1"/>
        <rFont val="Arial"/>
        <family val="2"/>
      </rPr>
      <t xml:space="preserve"> acres, formula linked to cell V142</t>
    </r>
  </si>
  <si>
    <t>Indirect Reference:</t>
  </si>
  <si>
    <t>Workers’ compensation: 8%</t>
  </si>
  <si>
    <t>Swiss Chard, Kale/Collard Greens, Summer Annual Herbs, Leek, Radish/Turnip Root, Scallions, and Half of Beets</t>
  </si>
  <si>
    <t xml:space="preserve">Electrical Conduit 1/2" x 10' to make Hoops </t>
  </si>
  <si>
    <t>Staples for Landscape Fabric</t>
  </si>
  <si>
    <t>ProtekNet exclusion insect netting, hoops, gravel bags, landscape fabric, staples</t>
  </si>
  <si>
    <t>T-Post cost amortized over 20 years</t>
  </si>
  <si>
    <t>Organic Buckwheat for third acre</t>
  </si>
  <si>
    <t>Organic Buckwheat for beneficial insect habitat</t>
  </si>
  <si>
    <t>Pre-Crop costs are halved because they are only associated with Fall planting</t>
  </si>
  <si>
    <t>Post-Crop:</t>
  </si>
  <si>
    <t>Variable             Labor cost</t>
  </si>
  <si>
    <t>Variable     Machinery cost</t>
  </si>
  <si>
    <t>Fixed          Machinery cost</t>
  </si>
  <si>
    <t>Variable               Input cost</t>
  </si>
  <si>
    <t>Field Activity                                                          Input</t>
  </si>
  <si>
    <t>Number of greenhouse flats produced</t>
  </si>
  <si>
    <t>Harvest Labor Hours</t>
  </si>
  <si>
    <r>
      <t>Harvest Labor Cost</t>
    </r>
    <r>
      <rPr>
        <b/>
        <i/>
        <sz val="12"/>
        <rFont val="Arial"/>
      </rPr>
      <t xml:space="preserve"> </t>
    </r>
    <r>
      <rPr>
        <b/>
        <i/>
        <sz val="12"/>
        <rFont val="Arial"/>
      </rPr>
      <t xml:space="preserve"> </t>
    </r>
  </si>
  <si>
    <t>ORGANIC CROP ENTERPRISE BUDGETS</t>
  </si>
  <si>
    <t>Organic Crop Enterprise Budget</t>
  </si>
  <si>
    <r>
      <t>Labor Hours</t>
    </r>
    <r>
      <rPr>
        <b/>
        <vertAlign val="superscript"/>
        <sz val="14"/>
        <rFont val="Arial"/>
      </rPr>
      <t xml:space="preserve"> 1</t>
    </r>
  </si>
  <si>
    <r>
      <t>Machinery Hours</t>
    </r>
    <r>
      <rPr>
        <b/>
        <vertAlign val="superscript"/>
        <sz val="14"/>
        <rFont val="Arial"/>
      </rPr>
      <t xml:space="preserve"> 1</t>
    </r>
  </si>
  <si>
    <t>Organic Crop Enterprise Budget Summary</t>
  </si>
  <si>
    <t>see budget worksheet 4</t>
  </si>
  <si>
    <t>Row Feet / Acre</t>
  </si>
  <si>
    <t>University of Kentucky College of Agriculture, Food, and Environment</t>
  </si>
  <si>
    <r>
      <t xml:space="preserve">Labor Cost at $13.19/hr    </t>
    </r>
    <r>
      <rPr>
        <i/>
        <sz val="12"/>
        <rFont val="Arial"/>
      </rPr>
      <t>(see Table 1)</t>
    </r>
  </si>
  <si>
    <r>
      <t>Variable Machinery Cost</t>
    </r>
    <r>
      <rPr>
        <sz val="12"/>
        <rFont val="Arial"/>
        <family val="2"/>
      </rPr>
      <t xml:space="preserve">        </t>
    </r>
    <r>
      <rPr>
        <i/>
        <sz val="12"/>
        <rFont val="Arial"/>
      </rPr>
      <t>(see Table 2)</t>
    </r>
  </si>
  <si>
    <r>
      <t>Fixed Machinery Cost</t>
    </r>
    <r>
      <rPr>
        <sz val="12"/>
        <rFont val="Arial"/>
        <family val="2"/>
      </rPr>
      <t xml:space="preserve">          </t>
    </r>
    <r>
      <rPr>
        <i/>
        <sz val="12"/>
        <rFont val="Arial"/>
      </rPr>
      <t>(see Table 3)</t>
    </r>
  </si>
  <si>
    <t>Plasti-culture</t>
  </si>
  <si>
    <t>Bare-ground</t>
  </si>
  <si>
    <t xml:space="preserve">Direct Seed / Transplant </t>
  </si>
  <si>
    <t>Rows per Bed</t>
  </si>
  <si>
    <t>Budget Worksheet 7</t>
  </si>
  <si>
    <t xml:space="preserve">SUMMARY </t>
  </si>
  <si>
    <t>FIELD ACTIVITY LABOR AND MACHINERY COSTS PER THIRD ACRE</t>
  </si>
  <si>
    <r>
      <rPr>
        <i/>
        <vertAlign val="superscript"/>
        <sz val="14"/>
        <rFont val="Arial"/>
      </rPr>
      <t xml:space="preserve">1 </t>
    </r>
    <r>
      <rPr>
        <i/>
        <sz val="12"/>
        <rFont val="Arial"/>
      </rPr>
      <t>All field activity labor and machinery hours are averages across crops of staff labor hours and machinery hours recorded for each task throughout the 2015 growing season in the UK-CSA Activity Log.</t>
    </r>
  </si>
  <si>
    <t xml:space="preserve">Berry Precision Seeder </t>
  </si>
  <si>
    <t xml:space="preserve">One 14 gpm Dosatron </t>
  </si>
  <si>
    <t>Redi-Heat Heavy-Duty Propagation Mat</t>
  </si>
  <si>
    <r>
      <t xml:space="preserve">750 </t>
    </r>
    <r>
      <rPr>
        <sz val="12"/>
        <color theme="1"/>
        <rFont val="Arial"/>
        <family val="2"/>
      </rPr>
      <t>'</t>
    </r>
    <r>
      <rPr>
        <sz val="12"/>
        <color theme="1"/>
        <rFont val="Arial"/>
        <family val="2"/>
      </rPr>
      <t>Winstrip</t>
    </r>
    <r>
      <rPr>
        <sz val="12"/>
        <color theme="1"/>
        <rFont val="Arial"/>
        <family val="2"/>
      </rPr>
      <t>-brand' seedling trays</t>
    </r>
  </si>
  <si>
    <t xml:space="preserve">Greenhouse Costs </t>
  </si>
  <si>
    <t>Toro Aqua-Traxx 8 mil 8" drip tape for 52" bed spacing on bareground</t>
  </si>
  <si>
    <t>BED AND ROW SPACING</t>
  </si>
  <si>
    <t>Bed and Row Spacing</t>
  </si>
  <si>
    <t>HARVEST AND WASH/PACK LABOR COSTS PER HARVEST PER THIRD ACRE</t>
  </si>
  <si>
    <t>Wash/Pack Labor Hours</t>
  </si>
  <si>
    <r>
      <t>Wash/Pack Labor Cost</t>
    </r>
    <r>
      <rPr>
        <i/>
        <sz val="12"/>
        <rFont val="Arial"/>
      </rPr>
      <t xml:space="preserve"> </t>
    </r>
  </si>
  <si>
    <t>Department of Horticulture</t>
  </si>
  <si>
    <t>BUDGET WORKSHEETS</t>
  </si>
  <si>
    <t>Crop Production Costs and Total Yield per Third-Acre</t>
  </si>
  <si>
    <t>Crop Production Costs</t>
  </si>
  <si>
    <r>
      <t xml:space="preserve">Total Yield </t>
    </r>
    <r>
      <rPr>
        <sz val="12"/>
        <rFont val="Arial"/>
        <family val="2"/>
      </rPr>
      <t xml:space="preserve">(pounds) </t>
    </r>
  </si>
  <si>
    <t>Crop Production Costs and Total Yield per Acre</t>
  </si>
  <si>
    <t xml:space="preserve">ProtekNet exclusion insect netting, etc. </t>
  </si>
  <si>
    <t xml:space="preserve">Detailed Summary of Crop Production Costs </t>
  </si>
  <si>
    <t>Authors:</t>
  </si>
  <si>
    <t>Production Costs per Pound</t>
  </si>
  <si>
    <t>Production Cost per Pound</t>
  </si>
  <si>
    <t>Detailed Organic Crop Enterprise Budget Summary</t>
  </si>
  <si>
    <t>Bucket Loader &amp;                                                                                       H &amp; S Manure Spreader</t>
  </si>
  <si>
    <r>
      <t>Annual Use (</t>
    </r>
    <r>
      <rPr>
        <sz val="12"/>
        <rFont val="Arial"/>
        <family val="2"/>
      </rPr>
      <t>hrs</t>
    </r>
    <r>
      <rPr>
        <b/>
        <sz val="12"/>
        <rFont val="Arial"/>
      </rPr>
      <t>)</t>
    </r>
  </si>
  <si>
    <r>
      <t>Bed Spacing (</t>
    </r>
    <r>
      <rPr>
        <sz val="12"/>
        <color rgb="FF000000"/>
        <rFont val="Arial"/>
      </rPr>
      <t>inches</t>
    </r>
    <r>
      <rPr>
        <b/>
        <sz val="12"/>
        <color rgb="FF000000"/>
        <rFont val="Arial"/>
      </rPr>
      <t>)</t>
    </r>
  </si>
  <si>
    <t>Toro Aqua-Traxx 8 mil 12" drip tape for 84" plasticulture production</t>
  </si>
  <si>
    <t>Toro Aqua-Traxx 8 mil 12" drip tape for 96" plasticulture production</t>
  </si>
  <si>
    <t>Plastic mulch for 84" bed spacing</t>
  </si>
  <si>
    <t>Plastic mulch for 96" bed spacing</t>
  </si>
  <si>
    <t xml:space="preserve">Toro Aqua-Traxx 8 mil 8" drip tape for 72" bed spacing on bareground </t>
  </si>
  <si>
    <t>2 drip lines per bed on 52" bed spacing for standard bareground system</t>
  </si>
  <si>
    <t>1 drip line per bed on 96" bed spacing for tomato production only</t>
  </si>
  <si>
    <t xml:space="preserve">1 drip line per bed on 84" bed spacing/Martin's Produce Supply, Liberty, KY </t>
  </si>
  <si>
    <t>Total cost ($2982.99) annualized over 5 years</t>
  </si>
  <si>
    <r>
      <t>Rate of Nature Safe (</t>
    </r>
    <r>
      <rPr>
        <sz val="12"/>
        <rFont val="Arial"/>
        <family val="2"/>
      </rPr>
      <t>lbs / Third Acre)</t>
    </r>
  </si>
  <si>
    <r>
      <t>Rate of Nature Safe (</t>
    </r>
    <r>
      <rPr>
        <sz val="12"/>
        <rFont val="Arial"/>
        <family val="2"/>
      </rPr>
      <t>lbs N / Acre</t>
    </r>
    <r>
      <rPr>
        <b/>
        <sz val="12"/>
        <rFont val="Arial"/>
      </rPr>
      <t>)</t>
    </r>
  </si>
  <si>
    <r>
      <t>Rate of Nature Safe (</t>
    </r>
    <r>
      <rPr>
        <sz val="12"/>
        <rFont val="Arial"/>
        <family val="2"/>
      </rPr>
      <t>lbs / ft</t>
    </r>
    <r>
      <rPr>
        <b/>
        <sz val="12"/>
        <rFont val="Arial"/>
      </rPr>
      <t xml:space="preserve">) </t>
    </r>
  </si>
  <si>
    <r>
      <t>Total Nature Safe / Third Acre (</t>
    </r>
    <r>
      <rPr>
        <sz val="12"/>
        <rFont val="Arial"/>
        <family val="2"/>
      </rPr>
      <t>lbs</t>
    </r>
    <r>
      <rPr>
        <b/>
        <sz val="12"/>
        <rFont val="Arial"/>
      </rPr>
      <t>)</t>
    </r>
  </si>
  <si>
    <r>
      <t>Total Nature Safe / Third Acre (</t>
    </r>
    <r>
      <rPr>
        <sz val="12"/>
        <rFont val="Arial"/>
        <family val="2"/>
      </rPr>
      <t>50 lb bags</t>
    </r>
    <r>
      <rPr>
        <b/>
        <sz val="12"/>
        <rFont val="Arial"/>
      </rPr>
      <t>)</t>
    </r>
  </si>
  <si>
    <t>NatureSafe (10-2-8) pelleted poultry litter fertilizer: plasticulture on 84" bed spacing</t>
  </si>
  <si>
    <t>NatureSafe (10-2-8) pelleted poultry litter fertilizer: plasticulture on 96" bed spacing</t>
  </si>
  <si>
    <t>346 hoops are needed @ 72" hoop spacing on 2074 bed feet per third acre</t>
  </si>
  <si>
    <t>NatureSafe.com/Darling Ingredients</t>
  </si>
  <si>
    <t>25 lbs of product (4 lbs Nitrogen)/Seven Springs Organic Farm and Garden Supplies, Check, VA</t>
  </si>
  <si>
    <t>12.5 lbs of product (6.5 lbs of Potash)/Seven Springs Organic Farm and Garden Supplies, Check, VA</t>
  </si>
  <si>
    <t>2 rolls are needed to cover a third acre field which measures ~50' wide x ~290' long/Dubois Ag, Canada</t>
  </si>
  <si>
    <t>$174 per 2000ft roll of bag-netting @ 4 ft per bag = $0.35 per bag.  228 bags needed to place 1 bag per hoop around 1200 ft perimeter length and 2 bags per hoop around 100 ft perimeter width/Berry Hill Irrigation, Buffalo Junction, VA</t>
  </si>
  <si>
    <t>$45 per ton of gravel @ 10 lbs of gravel per bag</t>
  </si>
  <si>
    <t>2 people can fill 120 bags per hour</t>
  </si>
  <si>
    <t>$42 per 3' x 300' roll, 4 rolls needed for 2 sheets of ProtekNet insect exclusion netting per third acre/Martin's Produce Supply, Liberty, KY</t>
  </si>
  <si>
    <t>$31 per 50 count box =200 total or 1 every ~6 feet, source: Martin's Produce Supply, Liberty, KY</t>
  </si>
  <si>
    <t>$35 per ton applied at 10 tons per acre</t>
  </si>
  <si>
    <t xml:space="preserve">$31 per 50 lb bag applied at 60 lbs N per acre pre-plant </t>
  </si>
  <si>
    <t>$31 per 50 lb bag applied at 90 lbs N per acre pre-plant</t>
  </si>
  <si>
    <t>$31 per 50 lb bag applied at 75 lbs N per acre pre-plant and 75 lbs N per acre side-dressed</t>
  </si>
  <si>
    <t xml:space="preserve">$350 per 50 gallon drum applied at 2 lbs N per third acre per fertigation </t>
  </si>
  <si>
    <t>$34 per 50 lbs Sodium Nitrate applied at 4 lbs N per third acre per fertigation</t>
  </si>
  <si>
    <t>$39 per 50 lbs Potassium Sulfate applied at 6.5 lbs of Potash per third acre per fertigation</t>
  </si>
  <si>
    <t>$90 per 2400 ft applied on 84" bed spacing = 2074 bed feet per third acre</t>
  </si>
  <si>
    <t>$90 per 2400 ft applied on 96" bed spacing = 1815 bed feet per third acre</t>
  </si>
  <si>
    <t xml:space="preserve">$140 per 7500 ft applied at 1 line per bed on 84" bed spacing = 2074 bed feet per third acre </t>
  </si>
  <si>
    <t>$140 per 7500 ft applied at 2 lines per bed on 52" bed spacing = 6702 row feet per third acre</t>
  </si>
  <si>
    <t>$140 per 7500 ft applied at 2 lines per bed on 72" bed spacing = 4840 row feet per third acre</t>
  </si>
  <si>
    <t>$200 per 1000 ft of row cover applied on 52" bed spacing = 3227 bed feet per third acre</t>
  </si>
  <si>
    <t>$6.5 per 6300 ft where 29040 feet are needed to trellis tomatoes on 96" bed spacing</t>
  </si>
  <si>
    <t>$44 per 50 lbs applied at 10 lbs per third acre rate</t>
  </si>
  <si>
    <t>$176 per 50 lbs applied at 10 lbs per third acre rate</t>
  </si>
  <si>
    <t>29,040 seeds needed @ $5 per 1000 seeds</t>
  </si>
  <si>
    <t>51,627 seeds needed @ $2.5 per 1000 seeds</t>
  </si>
  <si>
    <t>96,800 seeds needed @ $1.5 per 1000 seeds</t>
  </si>
  <si>
    <t>51,627 seeds needed @ $3.1 per 1000 seeds</t>
  </si>
  <si>
    <t>9,680 seeds needed @ $8 per 1000 seeds</t>
  </si>
  <si>
    <t>~120 lbs of seed needed @ ~$11.11 per lb</t>
  </si>
  <si>
    <t>129,067 seeds needed @ $0.55 per 1000 seeds</t>
  </si>
  <si>
    <t>77,440 seeds needed @ $0.55 per 1000 seeds</t>
  </si>
  <si>
    <t>~908 lbs of seed needed @ ~$92 per 50 lb bag</t>
  </si>
  <si>
    <t>77,440 seeds needed @ $1.5 per 1000 seeds</t>
  </si>
  <si>
    <t>3,000 slips needed @ $75 per 1000 slips</t>
  </si>
  <si>
    <t>5 gallons of product (2 lbs Nitrogen)/Peaceful Valley Farm Supply, Grass Valley, CA</t>
  </si>
  <si>
    <t>84" plasticulture bed spacing/Martin's Produce Supply, Liberty, KY</t>
  </si>
  <si>
    <t>96" plasticulture bed spacing for tomato production only</t>
  </si>
  <si>
    <t>2 drip lines per bed on 72" bed spacing for potatoes only</t>
  </si>
  <si>
    <t>Bareground, 52 in. bed spacing, 2 rows/bed, 16 in. between-row spacing, 9 in. in-row spacing</t>
  </si>
  <si>
    <t>Plastic mulch, 84 in. bed spacing, 1 row/bed, 15 in. in-row plant spacing</t>
  </si>
  <si>
    <t>Bareground, 52 in. bed spacing, 2 rows/bed, 16 in. between-row spacing, 2 in. in-row spacing</t>
  </si>
  <si>
    <t>Bareground, 52 in. bed spacing, 2 rows/bed, 16 in. between-row spacing, 1 in. in-row spacing</t>
  </si>
  <si>
    <t>Bareground, 52 in. bed spacing, 2 rows/bed, 16 in. between-row spacing, 0.8 in. in-row spacing</t>
  </si>
  <si>
    <t>Bareground, 52 in. bed spacing, 2 rows/bed, 16 in. between-row spacing, 12 in. in-row spacing</t>
  </si>
  <si>
    <t>Plastic mulch, 84 in. bed spacing, 3 rows/bed, 9 in. between-row spacing, 9 in. in-row plant spacing</t>
  </si>
  <si>
    <t>Plastic mulch, 84 in. bed spacing, 2 rows/bed, 12 in. between-row spacing, 18 in. in-row plant spacing</t>
  </si>
  <si>
    <t>Plastic mulch, 84 in. bed spacing, 2 rows/bed, 12 in. between-row spacing, 12 in. in-row plant spacing</t>
  </si>
  <si>
    <t>Bareground, 52 in. bed spacing, 2 rows per bed, 16 in. between-row spacing, 8 in. in-row spacing</t>
  </si>
  <si>
    <t>Bareground, 52 in. bed spacing, 2 rows/bed, 16 in. between-row spacing, 18 in. in-row spacing</t>
  </si>
  <si>
    <t>Bareground, 52 in. bed spacing, 2 rows/bed, 16 in. between-row spacing, 16 in. in-row spacing</t>
  </si>
  <si>
    <t>Bareground, 52 in. bed spacing, 2 rows/bed, 16 in. between-row spacing, 24 in. in-row spacing</t>
  </si>
  <si>
    <t>Bareground, 52 in. bed spacing, 2 rows/bed, 16 in. between-row spacing, 14 in. in-row spacing</t>
  </si>
  <si>
    <t>Bareground, 52 in. bed spacing, 2 rows/bed, 16 in. between-row spacing, 1.5 in. in-row spacing</t>
  </si>
  <si>
    <t>Bareground, 52 in. bed spacing, 2 rows/bed,18 in. between-row spacing, 2 in. in-row spacing</t>
  </si>
  <si>
    <t>Plastic mulch, 84 in. bed spacing, 2 rows/bed, 12 in. between-row spacing, 15 in. in-row plant spacing</t>
  </si>
  <si>
    <t>Bareground, 72 in. bed spacing, 2 rows/bed, 32 in. between-row spacing, 8 in. in-row spacing</t>
  </si>
  <si>
    <t>Plastic mulch, 84 in. bed spacing, 1 row/bed, 12 in. in-row plant spacing</t>
  </si>
  <si>
    <t>Bareground, 52 in. bed spacing, 2 rows/bed, 16 in. between-row spacing, 9 in. in-row spacing of multiple seeds/plant</t>
  </si>
  <si>
    <t>Plastic mulch, 84 in. bed spacing,1 row/bed, 15 in. in-row plant spacing</t>
  </si>
  <si>
    <t>Plastic mulch, 96 in. bed spacing,1 row/bed, 18 in. in-row plant spacing</t>
  </si>
  <si>
    <t>Plastic mulch, 84 in. bed spacing, 1 row/bed, 24 in. in-row plant spacing</t>
  </si>
  <si>
    <t>Plastic mulch, 84 in. bed spacing, 2 rows/bed, 12 in. between-row spacing, average 12 in. in-row plant spacing</t>
  </si>
  <si>
    <r>
      <rPr>
        <sz val="12"/>
        <color rgb="FF000000"/>
        <rFont val="Arial"/>
      </rPr>
      <t>(lbs / row foot)</t>
    </r>
    <r>
      <rPr>
        <vertAlign val="superscript"/>
        <sz val="14"/>
        <color rgb="FF000000"/>
        <rFont val="Arial"/>
      </rPr>
      <t xml:space="preserve"> 1</t>
    </r>
  </si>
  <si>
    <t>Average Yield</t>
  </si>
  <si>
    <t xml:space="preserve">Total Yield          </t>
  </si>
  <si>
    <r>
      <rPr>
        <i/>
        <vertAlign val="superscript"/>
        <sz val="14"/>
        <rFont val="Arial"/>
      </rPr>
      <t xml:space="preserve">1 </t>
    </r>
    <r>
      <rPr>
        <i/>
        <sz val="12"/>
        <rFont val="Arial"/>
      </rPr>
      <t xml:space="preserve">Average yield represents the average pound per row foot from the seasons 2013, 2014, and 2015 seasons after harvesting, washing and packing. </t>
    </r>
  </si>
  <si>
    <r>
      <rPr>
        <vertAlign val="superscript"/>
        <sz val="14"/>
        <rFont val="Arial"/>
      </rPr>
      <t>2</t>
    </r>
    <r>
      <rPr>
        <sz val="14"/>
        <rFont val="Arial"/>
      </rPr>
      <t xml:space="preserve"> </t>
    </r>
    <r>
      <rPr>
        <i/>
        <sz val="12"/>
        <rFont val="Arial"/>
      </rPr>
      <t xml:space="preserve">Total yield calculates average yield per row foot multiplied by the row foot per third acre from budget worksheet 1 for each crop. </t>
    </r>
  </si>
  <si>
    <r>
      <rPr>
        <i/>
        <vertAlign val="superscript"/>
        <sz val="14"/>
        <rFont val="Arial"/>
      </rPr>
      <t>3</t>
    </r>
    <r>
      <rPr>
        <i/>
        <sz val="14"/>
        <rFont val="Arial"/>
      </rPr>
      <t xml:space="preserve"> </t>
    </r>
    <r>
      <rPr>
        <i/>
        <sz val="12"/>
        <rFont val="Arial"/>
      </rPr>
      <t xml:space="preserve">You-pick average yield is an average of the yields from green beans, summer annual herbs, peppers, and tomatoes divided by two to account for non-timely harvest. </t>
    </r>
  </si>
  <si>
    <r>
      <t>(lbs / third acre)</t>
    </r>
    <r>
      <rPr>
        <sz val="14"/>
        <rFont val="Arial"/>
      </rPr>
      <t xml:space="preserve"> </t>
    </r>
    <r>
      <rPr>
        <vertAlign val="superscript"/>
        <sz val="14"/>
        <rFont val="Arial"/>
      </rPr>
      <t>2</t>
    </r>
  </si>
  <si>
    <t>YIELD</t>
  </si>
  <si>
    <t>see budget   worksheet 2</t>
  </si>
  <si>
    <t>see budget worksheet 3 unless noted</t>
  </si>
  <si>
    <t>see budget worksheet 5</t>
  </si>
  <si>
    <t>see budget worksheet 6 for labor</t>
  </si>
  <si>
    <t>Labor cost linked to Budget Worksheet 2:Table 1 "Labor Cost per Hour"</t>
  </si>
  <si>
    <t>Price per Unit</t>
  </si>
  <si>
    <t>Annual Cost per Tray</t>
  </si>
  <si>
    <t>Cubic Feet per Winstrip Tray</t>
  </si>
  <si>
    <t>Cubic Feet per Bag of Black Gold Potting Media</t>
  </si>
  <si>
    <t>Cost per Black Gold Bag (includes shipping)</t>
  </si>
  <si>
    <t>Total Cost per Tray</t>
  </si>
  <si>
    <r>
      <t>Labor Cost per Tray</t>
    </r>
    <r>
      <rPr>
        <sz val="12"/>
        <rFont val="Arial"/>
        <family val="2"/>
      </rPr>
      <t xml:space="preserve"> (see Table 2)</t>
    </r>
  </si>
  <si>
    <t>Labor Cost per Third Acre</t>
  </si>
  <si>
    <r>
      <t xml:space="preserve">Production Cost per Tray </t>
    </r>
    <r>
      <rPr>
        <sz val="12"/>
        <rFont val="Arial"/>
        <family val="2"/>
      </rPr>
      <t>(see Table 3)</t>
    </r>
  </si>
  <si>
    <t>Production Cost per Third Acre</t>
  </si>
  <si>
    <r>
      <rPr>
        <b/>
        <sz val="12"/>
        <rFont val="Arial"/>
      </rPr>
      <t>Seed Cost per Tray</t>
    </r>
    <r>
      <rPr>
        <sz val="12"/>
        <rFont val="Arial"/>
        <family val="2"/>
      </rPr>
      <t xml:space="preserve"> (see Table 4)</t>
    </r>
  </si>
  <si>
    <t>Seed Cost per Third Acre</t>
  </si>
  <si>
    <r>
      <t xml:space="preserve">Labor Cost per Third Acre </t>
    </r>
    <r>
      <rPr>
        <sz val="12"/>
        <rFont val="Arial"/>
        <family val="2"/>
      </rPr>
      <t>(see Table 1)</t>
    </r>
  </si>
  <si>
    <r>
      <t xml:space="preserve">Total Production Cost per Third Acre </t>
    </r>
    <r>
      <rPr>
        <sz val="12"/>
        <rFont val="Arial"/>
        <family val="2"/>
      </rPr>
      <t>(see Table 1)</t>
    </r>
  </si>
  <si>
    <r>
      <t>Seed Cost per Third Acre</t>
    </r>
    <r>
      <rPr>
        <sz val="12"/>
        <rFont val="Arial"/>
        <family val="2"/>
      </rPr>
      <t xml:space="preserve"> (see Table 1)</t>
    </r>
  </si>
  <si>
    <r>
      <rPr>
        <b/>
        <sz val="12"/>
        <color rgb="FF000000"/>
        <rFont val="Arial"/>
      </rPr>
      <t xml:space="preserve">Number of Seeds Needed per Tray </t>
    </r>
    <r>
      <rPr>
        <sz val="12"/>
        <color rgb="FF000000"/>
        <rFont val="Arial"/>
      </rPr>
      <t>(10% more)</t>
    </r>
  </si>
  <si>
    <t>Average price per 1,000 Seeds</t>
  </si>
  <si>
    <t>Seed Cost per Tray</t>
  </si>
  <si>
    <t>Total annual expenses per greenhouse flats produced</t>
  </si>
  <si>
    <t xml:space="preserve">5.97 gpm flow rate, 134 hrs total hours watering @ $0.00544931 per gallon </t>
  </si>
  <si>
    <t>300 gallons at $3  per gallon</t>
  </si>
  <si>
    <t>Poly = $600, installaion (8 hrs) = $100, annualized cost over 5 yrs</t>
  </si>
  <si>
    <t>Cost per Each</t>
  </si>
  <si>
    <t>Hours per Third Acre</t>
  </si>
  <si>
    <t xml:space="preserve">Number of irrigation events assigned based on 2015 irrigation logs, but normalized according to crop maturity times to better represent an average year. </t>
  </si>
  <si>
    <t>Detailed Summary of Crop Production Costs per Third-Acre</t>
  </si>
  <si>
    <t>Harvest and Wash-Pack</t>
  </si>
  <si>
    <t xml:space="preserve">Budget worksheet 1 calculates the number of row feet per third acre based on the in-row and between-row plant spacing of each particular crop as grown in the UK-CSA organic vegetable production system. Row feet per third acre for each crop is linked to other budget worksheets. </t>
  </si>
  <si>
    <t>Staff/Students</t>
  </si>
  <si>
    <t>Budget Worksheet 3 describes the various material input costs in seven categories: fertility, plastic mulch and drip irrigation lines, cultural practices, cover crop seed, direct seed, pesticides, and harvest supplies. Some averages are used to generalize costs across all crops. Data came from UK-CSA expense records, field maps, activity log, spray log, standard operating procedures, or were calculated from known product supply sources.</t>
  </si>
  <si>
    <t xml:space="preserve">Budget Worksheet 6 averages the amount of time that staff and student apprentices spend harvesting and packing a crop per time harvested. All labor hours were averaged from the 2015 UK-CSA season. If a crop is harvested multiple times, the total harvest and pack labor hour cost in the organic crop enterprise budgets reflects the costs for the total number of harvests for the entire season.  </t>
  </si>
  <si>
    <t xml:space="preserve">Budget Worksheet 7 lists the average yield in pounds per row foot, a figure from harvest records that averages data from 2013, 2014 and 2015 seasons and represents the total harvest after washing, sorting and packing have occurred. Total yield in pounds per third acre is the result of multiplying average yield in pounds per row foot with row feet per third acre from Budget Worksheet 1.  </t>
  </si>
  <si>
    <t>Plants / Acre</t>
  </si>
  <si>
    <t>Organic Farming Unit</t>
  </si>
  <si>
    <t xml:space="preserve">Crop Production Costs </t>
  </si>
  <si>
    <t xml:space="preserve">          Irrigation Supply Cost</t>
  </si>
  <si>
    <t xml:space="preserve">      Input Costs</t>
  </si>
  <si>
    <t xml:space="preserve">      Input Costs Subtotal</t>
  </si>
  <si>
    <t xml:space="preserve">      Labor Costs</t>
  </si>
  <si>
    <t xml:space="preserve">      Machinery Costs</t>
  </si>
  <si>
    <t xml:space="preserve">Budget Worksheet 2 shows the average labor and machinery hours and costs for all field activities. Data for this budget worksheet came from daily activity logs which recorded each field activity, date it was performed, field number, number of people required, time required, tractor and implement used, and tractor and implement time. Recording labor by every crop in this way is more detailed than a typical farm manager might record on a yearly basis for every crop. All labor hours, including student labor hours, were accounted for at a composite rate of $13.19/hr.; this represents an hourly wage of $11/hr. for four staff/students to every $13/hr. for one assistant manager plus worker’s compensation and employee taxes. The machinery cost includes the cost per hour to own and operate both the tractor and the implement for each activity. Fixed machinery costs are shared across 10 production acres. </t>
  </si>
  <si>
    <t>American Society for Agricultural and Biological Engineers (ASABE) standars</t>
  </si>
  <si>
    <t>Plastic and Drip-Irrigation Costs</t>
  </si>
  <si>
    <t>Cultural Practices</t>
  </si>
  <si>
    <r>
      <t xml:space="preserve">         </t>
    </r>
    <r>
      <rPr>
        <sz val="10"/>
        <color theme="1"/>
        <rFont val="Arial"/>
      </rPr>
      <t xml:space="preserve"> Cultural Practices </t>
    </r>
  </si>
  <si>
    <t>Combined cost of Sodium Nitrate and Potassium Sulfate per third-acre per fertigation</t>
  </si>
  <si>
    <t>Table 2: PLASTIC AND DRIP-IRRIGATION COSTS</t>
  </si>
  <si>
    <t>Table 3: CULTURAL PRACTICES INPUT COSTS</t>
  </si>
  <si>
    <t>10' section</t>
  </si>
  <si>
    <t>labor hour</t>
  </si>
  <si>
    <t>net bag</t>
  </si>
  <si>
    <t>ton</t>
  </si>
  <si>
    <t>26ft. x 328ft. Roll</t>
  </si>
  <si>
    <t>3ft. x 300ft. roll</t>
  </si>
  <si>
    <t>50 count box</t>
  </si>
  <si>
    <t xml:space="preserve">Budget Worksheet 4 outlines all costs associated with greenhouse production of transplant crops. Costs include the fixed infrastructure of a heated greenhouse, annual variable expenses such as heating fuel and electricity, variable inputs such as potting media and seed, and labor to seed, water and maintain the transplant seedlings. Data for these values came from expense records, daily activity logs, transplant production logs, as well as other sources listed below.   </t>
  </si>
  <si>
    <t xml:space="preserve">Budget Worksheet 5 details the irrigation supply and set-up labor costs per field. Supply costs include all irrigation hose connections and fittings to supply water to a field and distribute it to each bed according to prices from a Kentucky produce supplies distributor: Martin’s Produce Supplies, Liberty, KY. Irrigation set-up labor costs average the total labor hours required to set-up and remove all irrigation equipment based on activity log data.  </t>
  </si>
  <si>
    <t xml:space="preserve">"Composite Staff 1:4" indicates an average hourly wage for 1 assistant manager paid at $13/hr and 4 staff/students paid at $11/hr. The result: $13.19/hr is. linked to all labor calculations in the Crop Budget Workbook. </t>
  </si>
  <si>
    <t>Yield</t>
  </si>
  <si>
    <r>
      <t>Using CSU Exte</t>
    </r>
    <r>
      <rPr>
        <sz val="12"/>
        <color theme="1"/>
        <rFont val="Arial"/>
        <family val="2"/>
      </rPr>
      <t>n</t>
    </r>
    <r>
      <rPr>
        <sz val="12"/>
        <color theme="1"/>
        <rFont val="Arial"/>
        <family val="2"/>
      </rPr>
      <t xml:space="preserve">sion 2008 data, estimated Useful Life Machine Hours were assigned to each piece of machinery  </t>
    </r>
  </si>
  <si>
    <t>HARVEST AND WASH/PACK COSTS</t>
  </si>
  <si>
    <r>
      <t>Between-Row Spacing (</t>
    </r>
    <r>
      <rPr>
        <sz val="12"/>
        <rFont val="Arial"/>
        <family val="2"/>
      </rPr>
      <t>inches</t>
    </r>
    <r>
      <rPr>
        <b/>
        <sz val="12"/>
        <rFont val="Arial"/>
      </rPr>
      <t>)</t>
    </r>
  </si>
  <si>
    <r>
      <t>In-row Plant Spacing (</t>
    </r>
    <r>
      <rPr>
        <sz val="12"/>
        <rFont val="Arial"/>
        <family val="2"/>
      </rPr>
      <t>inches</t>
    </r>
    <r>
      <rPr>
        <b/>
        <sz val="12"/>
        <rFont val="Arial"/>
      </rPr>
      <t>)</t>
    </r>
  </si>
  <si>
    <t>Plants / Third Acre</t>
  </si>
  <si>
    <t xml:space="preserve"> Row Feet / Third Acre </t>
  </si>
  <si>
    <t xml:space="preserve">Tiffany Thompson completed this work in fulfillment of a Master’s of Science in Integrated Plant and Soil Science. She also worked as the University of Kentucky Community Supported Agriculture (UK-CSA) Manager from January 2012 through January 2016. All data collected for this project was collected first-hand by Ms. Thompson and by UK-CSA staff members Kristi Durbin, Aaron German, Katie Fiske, and Alex Goodman.       </t>
  </si>
  <si>
    <t>cilantro, dill, and basil</t>
  </si>
  <si>
    <t>arugula, spinach, lettuce mix, braising mix</t>
  </si>
  <si>
    <t>average of green beans, tomatoes, and herbs</t>
  </si>
  <si>
    <t xml:space="preserve">Rain-Flo Model 1600 Water Wheel Transplanter &amp; Wheels </t>
  </si>
  <si>
    <t xml:space="preserve">This acreage value determines annual use (hrs). </t>
  </si>
  <si>
    <t>Cauliflower, rubber-band plant leaves</t>
  </si>
  <si>
    <t>Cucurbits, remove &amp; then re-cover with Protek/Hoops</t>
  </si>
  <si>
    <t>$3.65 per T-post, $2111.45 total cost (annualized over 20 years) for 605 T-posts placed at 36" in-row on tomatoes grown on 96" bed spacing.</t>
  </si>
  <si>
    <t>Brassicas (Broccoli, Brussels Sprouts, Cabbage, Cauliflower, Greens Kale/Collards)</t>
  </si>
  <si>
    <t>Bed Feet / Third Acre</t>
  </si>
  <si>
    <r>
      <t>Rate (</t>
    </r>
    <r>
      <rPr>
        <sz val="12"/>
        <rFont val="Arial"/>
        <family val="2"/>
      </rPr>
      <t>lbs / Third Acre</t>
    </r>
    <r>
      <rPr>
        <b/>
        <sz val="12"/>
        <rFont val="Arial"/>
      </rPr>
      <t>)</t>
    </r>
  </si>
  <si>
    <t>Average of both mixes above</t>
  </si>
  <si>
    <t xml:space="preserve">    Winter Rye + Hairy Vetch + Crimson Clover Mix</t>
  </si>
  <si>
    <t xml:space="preserve">    Oats +  Austrian Winter Peas + Crimson Clover Mix</t>
  </si>
  <si>
    <r>
      <t xml:space="preserve">You-Pick </t>
    </r>
    <r>
      <rPr>
        <vertAlign val="superscript"/>
        <sz val="14"/>
        <rFont val="Arial"/>
      </rPr>
      <t>3</t>
    </r>
  </si>
  <si>
    <t>Adjusted Useful Economic Life (yrs)</t>
  </si>
  <si>
    <r>
      <t xml:space="preserve">Formula = Total Depreciation / Useful </t>
    </r>
    <r>
      <rPr>
        <sz val="12"/>
        <color theme="1"/>
        <rFont val="Arial"/>
        <family val="2"/>
      </rPr>
      <t xml:space="preserve">Economic </t>
    </r>
    <r>
      <rPr>
        <sz val="12"/>
        <color theme="1"/>
        <rFont val="Arial"/>
        <family val="2"/>
      </rPr>
      <t>Life</t>
    </r>
  </si>
  <si>
    <t>VARIABLE HARVEST AND WASH/PACK COSTS</t>
  </si>
  <si>
    <t xml:space="preserve">      Subtotal Variable Harvest and Wash/Pack Costs</t>
  </si>
  <si>
    <t xml:space="preserve">AVERAGE </t>
  </si>
  <si>
    <t>Tim Woods and Carl Dillon, Department of Agricultural Economics</t>
  </si>
  <si>
    <t>Ric Bessin, Department of Entomology</t>
  </si>
  <si>
    <t xml:space="preserve">Tiffany Thompson and Mark Williams, Department of Horticulture </t>
  </si>
  <si>
    <t xml:space="preserve">Economic Analysis of the University of Kentucky Community Supported Agriculture Organic Vegetable Production System </t>
  </si>
  <si>
    <t>UK-CSA Crop Budget Workbook</t>
  </si>
  <si>
    <t xml:space="preserve">The UK-CSA Crop Budget Workbook contains thirty organic crop enterprise budgets representing the UK-CSA organic vegetable production system. These budgets were created through calculations performed in seven budget worksheets using data collected during the 2013-2015 UK-CSA seasons.  </t>
  </si>
  <si>
    <t>http://www.uky.edu/ccd/tools/budgets/UKCSAEconomicAnalysis</t>
  </si>
  <si>
    <t>A summary document of the entire project is available at the web address below. The UK-CSA Crop Budget Workbook is one of two files that provide supplementary information for the summary document. The other supplementary file is titled UK-CSA Whole Farm Analysis. All three files are available at the following web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</si>
</sst>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4" formatCode="_-&quot;$&quot;* #,##0.00_-;\-&quot;$&quot;* #,##0.00_-;_-&quot;$&quot;* &quot;-&quot;??_-;_-@_-"/>
    <numFmt numFmtId="164" formatCode="0.000"/>
    <numFmt numFmtId="165" formatCode="&quot;$&quot;#,##0.00;[Red]&quot;$&quot;#,##0.00"/>
    <numFmt numFmtId="166" formatCode="0.0"/>
    <numFmt numFmtId="167" formatCode="m/d;@"/>
    <numFmt numFmtId="168" formatCode="0.00000"/>
    <numFmt numFmtId="169" formatCode="0.00000000"/>
    <numFmt numFmtId="170" formatCode="&quot;$&quot;#,##0.00000000;[Red]\-&quot;$&quot;#,##0.00000000"/>
    <numFmt numFmtId="171" formatCode="&quot;$&quot;#,##0;[Red]&quot;$&quot;#,##0"/>
  </numFmts>
  <fonts count="65" x14ac:knownFonts="1">
    <font>
      <sz val="12"/>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Calibri"/>
      <family val="2"/>
      <scheme val="minor"/>
    </font>
    <font>
      <sz val="10"/>
      <name val="Arial"/>
    </font>
    <font>
      <sz val="16"/>
      <name val="Arial"/>
    </font>
    <font>
      <sz val="10"/>
      <name val="Arial"/>
    </font>
    <font>
      <i/>
      <sz val="10"/>
      <name val="Arial"/>
    </font>
    <font>
      <b/>
      <i/>
      <sz val="12"/>
      <name val="Arial"/>
    </font>
    <font>
      <b/>
      <sz val="10"/>
      <name val="Arial"/>
    </font>
    <font>
      <i/>
      <sz val="12"/>
      <name val="Arial"/>
    </font>
    <font>
      <sz val="8"/>
      <name val="Arial"/>
      <family val="2"/>
    </font>
    <font>
      <sz val="8"/>
      <name val="Arial"/>
      <family val="2"/>
    </font>
    <font>
      <b/>
      <sz val="12"/>
      <name val="Arial"/>
    </font>
    <font>
      <sz val="20"/>
      <name val="Arial"/>
      <family val="2"/>
    </font>
    <font>
      <b/>
      <u/>
      <sz val="12"/>
      <name val="Arial"/>
      <family val="2"/>
    </font>
    <font>
      <sz val="12"/>
      <name val="Arial"/>
      <family val="2"/>
    </font>
    <font>
      <b/>
      <sz val="11"/>
      <name val="Arial"/>
      <family val="2"/>
    </font>
    <font>
      <sz val="9"/>
      <color indexed="81"/>
      <name val="Arial"/>
    </font>
    <font>
      <b/>
      <sz val="9"/>
      <color indexed="81"/>
      <name val="Arial"/>
    </font>
    <font>
      <b/>
      <sz val="16"/>
      <name val="Arial"/>
    </font>
    <font>
      <sz val="12"/>
      <color theme="1"/>
      <name val="Calibri"/>
      <family val="2"/>
      <scheme val="minor"/>
    </font>
    <font>
      <b/>
      <sz val="12"/>
      <color rgb="FF000000"/>
      <name val="Arial"/>
    </font>
    <font>
      <sz val="12"/>
      <color rgb="FF000000"/>
      <name val="Arial"/>
    </font>
    <font>
      <sz val="12"/>
      <color theme="1"/>
      <name val="Arial"/>
    </font>
    <font>
      <b/>
      <sz val="12"/>
      <color theme="1"/>
      <name val="Arial"/>
    </font>
    <font>
      <sz val="12"/>
      <color theme="0"/>
      <name val="Arial"/>
    </font>
    <font>
      <b/>
      <sz val="12"/>
      <color theme="0"/>
      <name val="Arial"/>
    </font>
    <font>
      <i/>
      <sz val="12"/>
      <color theme="0"/>
      <name val="Arial"/>
    </font>
    <font>
      <i/>
      <sz val="12"/>
      <color theme="1"/>
      <name val="Arial"/>
    </font>
    <font>
      <sz val="10"/>
      <color theme="0"/>
      <name val="Arial"/>
    </font>
    <font>
      <b/>
      <sz val="16"/>
      <color theme="0"/>
      <name val="Arial"/>
    </font>
    <font>
      <i/>
      <sz val="12"/>
      <color rgb="FF000000"/>
      <name val="Arial"/>
    </font>
    <font>
      <b/>
      <i/>
      <sz val="12"/>
      <color rgb="FF000000"/>
      <name val="Arial"/>
    </font>
    <font>
      <u/>
      <sz val="10"/>
      <color theme="10"/>
      <name val="Arial"/>
    </font>
    <font>
      <u/>
      <sz val="10"/>
      <color theme="11"/>
      <name val="Arial"/>
    </font>
    <font>
      <b/>
      <sz val="8"/>
      <name val="Arial"/>
    </font>
    <font>
      <u/>
      <sz val="12"/>
      <color theme="1"/>
      <name val="Arial"/>
    </font>
    <font>
      <b/>
      <sz val="11"/>
      <color theme="1"/>
      <name val="Calibri"/>
      <scheme val="minor"/>
    </font>
    <font>
      <b/>
      <sz val="14"/>
      <name val="Arial"/>
    </font>
    <font>
      <sz val="14"/>
      <name val="Arial"/>
    </font>
    <font>
      <u/>
      <sz val="12"/>
      <color theme="0"/>
      <name val="Arial"/>
    </font>
    <font>
      <sz val="10"/>
      <color theme="1"/>
      <name val="Arial"/>
    </font>
    <font>
      <b/>
      <sz val="10"/>
      <color theme="1"/>
      <name val="Arial"/>
    </font>
    <font>
      <u/>
      <sz val="12"/>
      <name val="Arial"/>
    </font>
    <font>
      <u/>
      <sz val="12"/>
      <color theme="11"/>
      <name val="Arial"/>
      <family val="2"/>
    </font>
    <font>
      <i/>
      <sz val="10"/>
      <color theme="1"/>
      <name val="Arial"/>
    </font>
    <font>
      <b/>
      <sz val="12"/>
      <color rgb="FFFFFFFF"/>
      <name val="Arial"/>
      <family val="2"/>
    </font>
    <font>
      <i/>
      <vertAlign val="superscript"/>
      <sz val="14"/>
      <name val="Arial"/>
    </font>
    <font>
      <b/>
      <vertAlign val="superscript"/>
      <sz val="14"/>
      <name val="Arial"/>
    </font>
    <font>
      <sz val="22"/>
      <name val="Arial"/>
    </font>
    <font>
      <b/>
      <sz val="18"/>
      <name val="Arial"/>
    </font>
    <font>
      <vertAlign val="superscript"/>
      <sz val="14"/>
      <name val="Arial"/>
    </font>
    <font>
      <vertAlign val="superscript"/>
      <sz val="14"/>
      <color rgb="FF000000"/>
      <name val="Arial"/>
    </font>
    <font>
      <b/>
      <sz val="12"/>
      <name val="Calibri"/>
      <scheme val="minor"/>
    </font>
    <font>
      <b/>
      <sz val="15"/>
      <name val="Arial"/>
    </font>
    <font>
      <i/>
      <sz val="14"/>
      <name val="Arial"/>
    </font>
    <font>
      <b/>
      <i/>
      <sz val="14"/>
      <name val="Arial"/>
    </font>
    <font>
      <b/>
      <sz val="16"/>
      <color rgb="FFFFFFFF"/>
      <name val="Arial"/>
    </font>
    <font>
      <b/>
      <i/>
      <sz val="15"/>
      <name val="Arial"/>
    </font>
    <font>
      <u/>
      <sz val="14"/>
      <color theme="10"/>
      <name val="Arial"/>
    </font>
  </fonts>
  <fills count="14">
    <fill>
      <patternFill patternType="none"/>
    </fill>
    <fill>
      <patternFill patternType="gray125"/>
    </fill>
    <fill>
      <patternFill patternType="lightHorizontal"/>
    </fill>
    <fill>
      <patternFill patternType="solid">
        <fgColor theme="3" tint="0.39997558519241921"/>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lightHorizontal">
        <bgColor theme="0"/>
      </patternFill>
    </fill>
    <fill>
      <patternFill patternType="solid">
        <fgColor theme="4" tint="0.59999389629810485"/>
        <bgColor indexed="64"/>
      </patternFill>
    </fill>
    <fill>
      <patternFill patternType="solid">
        <fgColor theme="0" tint="-0.249977111117893"/>
        <bgColor rgb="FF000000"/>
      </patternFill>
    </fill>
    <fill>
      <patternFill patternType="solid">
        <fgColor rgb="FF005DAA"/>
        <bgColor indexed="64"/>
      </patternFill>
    </fill>
    <fill>
      <patternFill patternType="solid">
        <fgColor rgb="FF005DAA"/>
        <bgColor rgb="FF000000"/>
      </patternFill>
    </fill>
  </fills>
  <borders count="41">
    <border>
      <left/>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style="medium">
        <color auto="1"/>
      </left>
      <right style="medium">
        <color auto="1"/>
      </right>
      <top/>
      <bottom style="thin">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s>
  <cellStyleXfs count="2995">
    <xf numFmtId="0" fontId="0" fillId="0" borderId="0"/>
    <xf numFmtId="0" fontId="25" fillId="0" borderId="0"/>
    <xf numFmtId="0" fontId="20" fillId="0" borderId="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8" fillId="0" borderId="0"/>
    <xf numFmtId="9" fontId="8" fillId="0" borderId="0" applyFont="0" applyFill="0" applyBorder="0" applyAlignment="0" applyProtection="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xf numFmtId="9" fontId="7" fillId="0" borderId="0" applyFont="0" applyFill="0" applyBorder="0" applyAlignment="0" applyProtection="0"/>
    <xf numFmtId="0" fontId="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9" fontId="2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1347">
    <xf numFmtId="0" fontId="0" fillId="0" borderId="0" xfId="0"/>
    <xf numFmtId="0" fontId="10" fillId="0" borderId="0" xfId="0" applyNumberFormat="1" applyFont="1" applyFill="1" applyBorder="1" applyAlignment="1" applyProtection="1">
      <protection locked="0"/>
    </xf>
    <xf numFmtId="0" fontId="12" fillId="0" borderId="0" xfId="0" applyNumberFormat="1" applyFont="1" applyFill="1" applyBorder="1" applyAlignment="1" applyProtection="1">
      <protection locked="0"/>
    </xf>
    <xf numFmtId="0" fontId="15" fillId="0" borderId="0" xfId="0" applyNumberFormat="1" applyFont="1" applyFill="1" applyBorder="1" applyAlignment="1" applyProtection="1">
      <protection locked="0"/>
    </xf>
    <xf numFmtId="0" fontId="20" fillId="0" borderId="0" xfId="0" applyNumberFormat="1" applyFont="1" applyFill="1" applyBorder="1" applyAlignment="1" applyProtection="1">
      <protection locked="0"/>
    </xf>
    <xf numFmtId="0" fontId="20" fillId="0" borderId="0" xfId="0" applyFont="1"/>
    <xf numFmtId="0" fontId="0" fillId="0" borderId="0" xfId="0" applyProtection="1">
      <protection locked="0"/>
    </xf>
    <xf numFmtId="0" fontId="15" fillId="0" borderId="0" xfId="0" applyFont="1" applyProtection="1">
      <protection locked="0"/>
    </xf>
    <xf numFmtId="0" fontId="8" fillId="0" borderId="0" xfId="0" applyNumberFormat="1" applyFont="1" applyFill="1" applyBorder="1" applyAlignment="1" applyProtection="1">
      <protection locked="0"/>
    </xf>
    <xf numFmtId="0" fontId="15" fillId="0" borderId="0" xfId="0" applyFont="1" applyBorder="1" applyAlignment="1" applyProtection="1">
      <alignment vertical="top" wrapText="1"/>
      <protection locked="0"/>
    </xf>
    <xf numFmtId="0" fontId="0" fillId="0" borderId="0" xfId="0" applyNumberFormat="1" applyFont="1" applyFill="1" applyBorder="1" applyAlignment="1" applyProtection="1">
      <protection locked="0"/>
    </xf>
    <xf numFmtId="0" fontId="0" fillId="0" borderId="0" xfId="0" applyBorder="1"/>
    <xf numFmtId="0" fontId="0" fillId="0" borderId="0" xfId="0" applyNumberFormat="1" applyFont="1" applyFill="1" applyBorder="1" applyAlignment="1" applyProtection="1">
      <alignment horizontal="right"/>
      <protection locked="0"/>
    </xf>
    <xf numFmtId="0" fontId="0" fillId="0" borderId="0" xfId="0" applyBorder="1" applyProtection="1">
      <protection locked="0"/>
    </xf>
    <xf numFmtId="0" fontId="0" fillId="0" borderId="0" xfId="0" applyFill="1" applyBorder="1" applyProtection="1">
      <protection locked="0"/>
    </xf>
    <xf numFmtId="0" fontId="0" fillId="0" borderId="0" xfId="0" applyFont="1" applyBorder="1"/>
    <xf numFmtId="0" fontId="0" fillId="0" borderId="0" xfId="0" applyFill="1" applyBorder="1" applyAlignment="1" applyProtection="1">
      <alignment vertical="top" wrapText="1"/>
      <protection locked="0"/>
    </xf>
    <xf numFmtId="0" fontId="26" fillId="0" borderId="0" xfId="0" applyFont="1"/>
    <xf numFmtId="166" fontId="27" fillId="0" borderId="0" xfId="0" applyNumberFormat="1" applyFont="1"/>
    <xf numFmtId="0" fontId="27" fillId="0" borderId="0" xfId="0" applyFont="1"/>
    <xf numFmtId="166" fontId="27" fillId="0" borderId="0" xfId="0" applyNumberFormat="1" applyFont="1" applyAlignment="1">
      <alignment wrapText="1"/>
    </xf>
    <xf numFmtId="2" fontId="20" fillId="0" borderId="0" xfId="0" applyNumberFormat="1" applyFont="1"/>
    <xf numFmtId="0" fontId="20" fillId="0" borderId="0" xfId="0" applyFont="1" applyBorder="1"/>
    <xf numFmtId="2" fontId="20" fillId="0" borderId="0" xfId="0" applyNumberFormat="1" applyFont="1" applyFill="1" applyBorder="1" applyAlignment="1" applyProtection="1">
      <protection locked="0"/>
    </xf>
    <xf numFmtId="2" fontId="20" fillId="0" borderId="0" xfId="0" applyNumberFormat="1" applyFont="1" applyBorder="1"/>
    <xf numFmtId="165" fontId="20" fillId="0" borderId="0" xfId="0" applyNumberFormat="1" applyFont="1"/>
    <xf numFmtId="166" fontId="27" fillId="0" borderId="0" xfId="0" applyNumberFormat="1" applyFont="1" applyFill="1"/>
    <xf numFmtId="0" fontId="27" fillId="0" borderId="0" xfId="0" applyFont="1" applyFill="1"/>
    <xf numFmtId="0" fontId="20" fillId="0" borderId="0" xfId="0" applyFont="1" applyFill="1"/>
    <xf numFmtId="0" fontId="17" fillId="0" borderId="0" xfId="0" applyFont="1" applyAlignment="1">
      <alignment wrapText="1"/>
    </xf>
    <xf numFmtId="0" fontId="0" fillId="0" borderId="0" xfId="0" applyFill="1"/>
    <xf numFmtId="0" fontId="28" fillId="0" borderId="0" xfId="1" applyFont="1"/>
    <xf numFmtId="0" fontId="28" fillId="0" borderId="0" xfId="1" applyFont="1" applyAlignment="1">
      <alignment horizontal="right"/>
    </xf>
    <xf numFmtId="165" fontId="28" fillId="0" borderId="0" xfId="1" applyNumberFormat="1" applyFont="1"/>
    <xf numFmtId="0" fontId="28" fillId="0" borderId="0" xfId="1" applyFont="1" applyBorder="1" applyAlignment="1">
      <alignment horizontal="left"/>
    </xf>
    <xf numFmtId="165" fontId="28" fillId="0" borderId="0" xfId="1" applyNumberFormat="1" applyFont="1" applyBorder="1" applyAlignment="1">
      <alignment horizontal="right"/>
    </xf>
    <xf numFmtId="0" fontId="29" fillId="0" borderId="0" xfId="1" applyFont="1"/>
    <xf numFmtId="165" fontId="28" fillId="0" borderId="0" xfId="1" applyNumberFormat="1" applyFont="1" applyFill="1"/>
    <xf numFmtId="0" fontId="28" fillId="0" borderId="0" xfId="1" applyFont="1" applyFill="1" applyBorder="1" applyAlignment="1">
      <alignment horizontal="left"/>
    </xf>
    <xf numFmtId="165" fontId="28" fillId="0" borderId="0" xfId="1" applyNumberFormat="1" applyFont="1" applyFill="1" applyBorder="1" applyAlignment="1">
      <alignment horizontal="right"/>
    </xf>
    <xf numFmtId="165" fontId="28" fillId="0" borderId="0" xfId="1" applyNumberFormat="1" applyFont="1" applyAlignment="1">
      <alignment horizontal="right"/>
    </xf>
    <xf numFmtId="0" fontId="28" fillId="0" borderId="0" xfId="1" applyFont="1" applyFill="1"/>
    <xf numFmtId="0" fontId="24" fillId="0" borderId="0" xfId="0" applyFont="1"/>
    <xf numFmtId="0" fontId="17" fillId="0" borderId="0" xfId="0" applyFont="1"/>
    <xf numFmtId="0" fontId="14" fillId="0" borderId="0" xfId="0" applyFont="1"/>
    <xf numFmtId="0" fontId="14" fillId="0" borderId="0" xfId="0" applyFont="1" applyFill="1"/>
    <xf numFmtId="165" fontId="20" fillId="0" borderId="0" xfId="0" applyNumberFormat="1" applyFont="1" applyFill="1" applyBorder="1" applyAlignment="1" applyProtection="1">
      <protection locked="0"/>
    </xf>
    <xf numFmtId="165" fontId="20" fillId="0" borderId="0" xfId="0" applyNumberFormat="1" applyFont="1" applyBorder="1"/>
    <xf numFmtId="165" fontId="20" fillId="0" borderId="0" xfId="0" applyNumberFormat="1" applyFont="1" applyFill="1" applyBorder="1"/>
    <xf numFmtId="165" fontId="20" fillId="0" borderId="0" xfId="0" applyNumberFormat="1" applyFont="1" applyFill="1" applyBorder="1" applyAlignment="1" applyProtection="1"/>
    <xf numFmtId="8" fontId="20" fillId="0" borderId="0" xfId="0" applyNumberFormat="1" applyFont="1"/>
    <xf numFmtId="0" fontId="20" fillId="0" borderId="1" xfId="0" applyFont="1" applyBorder="1"/>
    <xf numFmtId="165" fontId="20" fillId="0" borderId="0" xfId="0" applyNumberFormat="1" applyFont="1" applyFill="1"/>
    <xf numFmtId="0" fontId="20" fillId="0" borderId="0" xfId="0" applyFont="1" applyAlignment="1">
      <alignment horizontal="left"/>
    </xf>
    <xf numFmtId="0" fontId="20" fillId="0" borderId="0" xfId="0" applyFont="1" applyFill="1" applyBorder="1" applyAlignment="1">
      <alignment horizontal="left"/>
    </xf>
    <xf numFmtId="0" fontId="20" fillId="0" borderId="0" xfId="0" applyFont="1" applyFill="1" applyBorder="1"/>
    <xf numFmtId="0" fontId="14" fillId="0" borderId="0" xfId="0" applyFont="1" applyBorder="1"/>
    <xf numFmtId="0" fontId="17" fillId="0" borderId="0" xfId="0" applyFont="1" applyBorder="1"/>
    <xf numFmtId="165" fontId="17" fillId="0" borderId="0" xfId="0" applyNumberFormat="1" applyFont="1" applyBorder="1"/>
    <xf numFmtId="0" fontId="27" fillId="0" borderId="0" xfId="0" applyFont="1" applyFill="1" applyBorder="1"/>
    <xf numFmtId="165" fontId="17" fillId="0" borderId="0" xfId="0" applyNumberFormat="1" applyFont="1" applyFill="1" applyBorder="1" applyAlignment="1" applyProtection="1"/>
    <xf numFmtId="0" fontId="20" fillId="0" borderId="0" xfId="0" applyFont="1" applyFill="1" applyBorder="1" applyAlignment="1"/>
    <xf numFmtId="0" fontId="20" fillId="0" borderId="0" xfId="0" applyFont="1" applyFill="1" applyBorder="1" applyProtection="1">
      <protection locked="0"/>
    </xf>
    <xf numFmtId="0" fontId="20" fillId="0" borderId="0" xfId="0" applyFont="1" applyFill="1" applyBorder="1" applyAlignment="1" applyProtection="1">
      <alignment vertical="top" wrapText="1"/>
      <protection locked="0"/>
    </xf>
    <xf numFmtId="0" fontId="28" fillId="0" borderId="0" xfId="1" applyFont="1" applyBorder="1"/>
    <xf numFmtId="0" fontId="28" fillId="0" borderId="0" xfId="1" applyFont="1" applyFill="1" applyBorder="1"/>
    <xf numFmtId="165" fontId="28" fillId="0" borderId="0" xfId="1" applyNumberFormat="1" applyFont="1" applyBorder="1"/>
    <xf numFmtId="165" fontId="28" fillId="0" borderId="0" xfId="1" applyNumberFormat="1" applyFont="1" applyFill="1" applyBorder="1"/>
    <xf numFmtId="0" fontId="31" fillId="0" borderId="0" xfId="1" applyFont="1" applyFill="1" applyAlignment="1">
      <alignment wrapText="1"/>
    </xf>
    <xf numFmtId="0" fontId="17" fillId="0" borderId="0" xfId="0" applyFont="1" applyFill="1" applyBorder="1"/>
    <xf numFmtId="0" fontId="20" fillId="0" borderId="0" xfId="0" applyNumberFormat="1" applyFont="1" applyBorder="1"/>
    <xf numFmtId="8" fontId="20" fillId="0" borderId="0" xfId="0" applyNumberFormat="1" applyFont="1" applyFill="1" applyBorder="1"/>
    <xf numFmtId="0" fontId="30" fillId="0" borderId="0" xfId="0" applyFont="1" applyFill="1" applyBorder="1"/>
    <xf numFmtId="166" fontId="26" fillId="0" borderId="0" xfId="0" applyNumberFormat="1" applyFont="1"/>
    <xf numFmtId="0" fontId="14" fillId="0" borderId="0" xfId="0" applyFont="1" applyAlignment="1">
      <alignment vertical="top" wrapText="1"/>
    </xf>
    <xf numFmtId="0" fontId="27" fillId="0" borderId="1" xfId="0" applyFont="1" applyBorder="1"/>
    <xf numFmtId="165" fontId="17" fillId="0" borderId="4" xfId="0" applyNumberFormat="1" applyFont="1" applyBorder="1"/>
    <xf numFmtId="0" fontId="20" fillId="0" borderId="5" xfId="0" applyFont="1" applyBorder="1"/>
    <xf numFmtId="0" fontId="20" fillId="0" borderId="6" xfId="0" applyFont="1" applyBorder="1"/>
    <xf numFmtId="165" fontId="17" fillId="0" borderId="7" xfId="0" applyNumberFormat="1" applyFont="1" applyBorder="1"/>
    <xf numFmtId="165" fontId="29" fillId="0" borderId="0" xfId="1" applyNumberFormat="1" applyFont="1" applyBorder="1"/>
    <xf numFmtId="0" fontId="0" fillId="0" borderId="0" xfId="0" applyFill="1" applyBorder="1"/>
    <xf numFmtId="2" fontId="17" fillId="0" borderId="0" xfId="0" applyNumberFormat="1" applyFont="1" applyFill="1" applyBorder="1" applyAlignment="1" applyProtection="1"/>
    <xf numFmtId="0" fontId="14" fillId="0" borderId="0" xfId="0" applyFont="1" applyFill="1" applyBorder="1"/>
    <xf numFmtId="0" fontId="20" fillId="0" borderId="4" xfId="0" applyFont="1" applyBorder="1"/>
    <xf numFmtId="165" fontId="20" fillId="0" borderId="4" xfId="0" applyNumberFormat="1" applyFont="1" applyBorder="1"/>
    <xf numFmtId="165" fontId="0" fillId="0" borderId="0" xfId="0" applyNumberFormat="1" applyFont="1" applyFill="1" applyBorder="1" applyAlignment="1" applyProtection="1">
      <protection locked="0"/>
    </xf>
    <xf numFmtId="0" fontId="15" fillId="0" borderId="0" xfId="0" applyFont="1" applyFill="1" applyProtection="1">
      <protection locked="0"/>
    </xf>
    <xf numFmtId="0" fontId="30" fillId="0" borderId="0" xfId="0" applyFont="1" applyFill="1"/>
    <xf numFmtId="0" fontId="20" fillId="0" borderId="7" xfId="0" applyFont="1" applyBorder="1"/>
    <xf numFmtId="166" fontId="20" fillId="0" borderId="0" xfId="0" applyNumberFormat="1" applyFont="1" applyFill="1" applyBorder="1"/>
    <xf numFmtId="1" fontId="20" fillId="0" borderId="0" xfId="0" applyNumberFormat="1" applyFont="1" applyFill="1" applyBorder="1"/>
    <xf numFmtId="0" fontId="30" fillId="0" borderId="0" xfId="0" applyFont="1" applyFill="1" applyAlignment="1">
      <alignment horizontal="right"/>
    </xf>
    <xf numFmtId="0" fontId="32" fillId="0" borderId="0" xfId="0" applyFont="1" applyFill="1" applyBorder="1"/>
    <xf numFmtId="0" fontId="30" fillId="0" borderId="0" xfId="0" applyFont="1" applyFill="1" applyBorder="1" applyAlignment="1"/>
    <xf numFmtId="0" fontId="27" fillId="0" borderId="0" xfId="0" applyFont="1" applyBorder="1"/>
    <xf numFmtId="0" fontId="17" fillId="0" borderId="0" xfId="0" applyFont="1" applyFill="1" applyBorder="1" applyAlignment="1">
      <alignment wrapText="1"/>
    </xf>
    <xf numFmtId="165" fontId="26" fillId="0" borderId="0" xfId="0" applyNumberFormat="1" applyFont="1" applyBorder="1"/>
    <xf numFmtId="1" fontId="27" fillId="0" borderId="0" xfId="0" applyNumberFormat="1" applyFont="1" applyBorder="1"/>
    <xf numFmtId="0" fontId="31" fillId="0" borderId="0" xfId="0" applyFont="1" applyFill="1" applyBorder="1"/>
    <xf numFmtId="165" fontId="20" fillId="0" borderId="6" xfId="0" applyNumberFormat="1" applyFont="1" applyBorder="1"/>
    <xf numFmtId="0" fontId="20" fillId="3" borderId="3" xfId="0" applyFont="1" applyFill="1" applyBorder="1"/>
    <xf numFmtId="0" fontId="20" fillId="0" borderId="0" xfId="0" applyFont="1" applyFill="1" applyBorder="1" applyAlignment="1">
      <alignment vertical="top" wrapText="1"/>
    </xf>
    <xf numFmtId="0" fontId="20" fillId="0" borderId="1" xfId="0" applyNumberFormat="1" applyFont="1" applyFill="1" applyBorder="1" applyAlignment="1" applyProtection="1">
      <protection locked="0"/>
    </xf>
    <xf numFmtId="165" fontId="20" fillId="0" borderId="4" xfId="0" applyNumberFormat="1" applyFont="1" applyFill="1" applyBorder="1" applyAlignment="1" applyProtection="1">
      <protection locked="0"/>
    </xf>
    <xf numFmtId="165" fontId="17" fillId="0" borderId="6" xfId="0" applyNumberFormat="1" applyFont="1" applyFill="1" applyBorder="1" applyAlignment="1" applyProtection="1"/>
    <xf numFmtId="165" fontId="17" fillId="0" borderId="7" xfId="0" applyNumberFormat="1" applyFont="1" applyFill="1" applyBorder="1" applyAlignment="1" applyProtection="1"/>
    <xf numFmtId="0" fontId="14" fillId="0" borderId="0" xfId="0" applyFont="1" applyAlignment="1">
      <alignment horizontal="right"/>
    </xf>
    <xf numFmtId="0" fontId="20" fillId="0" borderId="0" xfId="2"/>
    <xf numFmtId="0" fontId="20" fillId="0" borderId="0" xfId="2" applyBorder="1"/>
    <xf numFmtId="0" fontId="10" fillId="0" borderId="0" xfId="2" applyNumberFormat="1" applyFont="1" applyFill="1" applyBorder="1" applyAlignment="1" applyProtection="1">
      <protection locked="0"/>
    </xf>
    <xf numFmtId="0" fontId="20" fillId="0" borderId="0" xfId="2" applyBorder="1" applyProtection="1">
      <protection locked="0"/>
    </xf>
    <xf numFmtId="0" fontId="20" fillId="0" borderId="0" xfId="2" applyProtection="1">
      <protection locked="0"/>
    </xf>
    <xf numFmtId="0" fontId="20" fillId="0" borderId="0" xfId="2" applyFill="1" applyBorder="1" applyAlignment="1" applyProtection="1">
      <alignment vertical="top" wrapText="1"/>
      <protection locked="0"/>
    </xf>
    <xf numFmtId="0" fontId="19" fillId="0" borderId="0" xfId="2" applyNumberFormat="1" applyFont="1" applyFill="1" applyBorder="1" applyAlignment="1" applyProtection="1">
      <protection locked="0"/>
    </xf>
    <xf numFmtId="0" fontId="15" fillId="0" borderId="0" xfId="2" applyNumberFormat="1" applyFont="1" applyFill="1" applyBorder="1" applyAlignment="1" applyProtection="1">
      <protection locked="0"/>
    </xf>
    <xf numFmtId="0" fontId="17" fillId="0" borderId="0" xfId="2" applyNumberFormat="1" applyFont="1" applyFill="1" applyBorder="1" applyAlignment="1" applyProtection="1">
      <protection locked="0"/>
    </xf>
    <xf numFmtId="0" fontId="13" fillId="0" borderId="0" xfId="2" applyNumberFormat="1" applyFont="1" applyFill="1" applyBorder="1" applyAlignment="1" applyProtection="1">
      <protection locked="0"/>
    </xf>
    <xf numFmtId="0" fontId="15" fillId="0" borderId="0" xfId="2" applyFont="1" applyProtection="1">
      <protection locked="0"/>
    </xf>
    <xf numFmtId="0" fontId="20" fillId="0" borderId="0" xfId="2" applyFill="1"/>
    <xf numFmtId="0" fontId="20" fillId="0" borderId="0" xfId="2" applyFill="1" applyBorder="1"/>
    <xf numFmtId="0" fontId="20" fillId="0" borderId="0" xfId="2" applyFill="1" applyProtection="1">
      <protection locked="0"/>
    </xf>
    <xf numFmtId="0" fontId="15" fillId="0" borderId="0" xfId="2" applyFont="1" applyFill="1" applyProtection="1">
      <protection locked="0"/>
    </xf>
    <xf numFmtId="165" fontId="20" fillId="0" borderId="0" xfId="2" applyNumberFormat="1" applyBorder="1" applyProtection="1">
      <protection locked="0"/>
    </xf>
    <xf numFmtId="165" fontId="20" fillId="0" borderId="0" xfId="2" applyNumberFormat="1" applyFill="1" applyBorder="1" applyProtection="1">
      <protection locked="0"/>
    </xf>
    <xf numFmtId="165" fontId="15" fillId="0" borderId="0" xfId="2" applyNumberFormat="1" applyFont="1" applyProtection="1">
      <protection locked="0"/>
    </xf>
    <xf numFmtId="165" fontId="20" fillId="0" borderId="0" xfId="2" applyNumberFormat="1" applyProtection="1">
      <protection locked="0"/>
    </xf>
    <xf numFmtId="0" fontId="20" fillId="0" borderId="0" xfId="2" applyFill="1" applyBorder="1" applyProtection="1">
      <protection locked="0"/>
    </xf>
    <xf numFmtId="0" fontId="10" fillId="0" borderId="0" xfId="2" applyFont="1" applyBorder="1"/>
    <xf numFmtId="0" fontId="9" fillId="0" borderId="0" xfId="2" applyNumberFormat="1" applyFont="1" applyFill="1" applyBorder="1" applyAlignment="1" applyProtection="1">
      <protection locked="0"/>
    </xf>
    <xf numFmtId="0" fontId="10" fillId="0" borderId="0" xfId="2" applyFont="1" applyFill="1" applyBorder="1" applyAlignment="1" applyProtection="1">
      <alignment horizontal="left"/>
      <protection locked="0"/>
    </xf>
    <xf numFmtId="0" fontId="18" fillId="0" borderId="0" xfId="2" applyFont="1" applyBorder="1"/>
    <xf numFmtId="0" fontId="0" fillId="0" borderId="0" xfId="2" applyNumberFormat="1" applyFont="1" applyFill="1" applyBorder="1" applyAlignment="1" applyProtection="1">
      <protection locked="0"/>
    </xf>
    <xf numFmtId="165" fontId="0" fillId="0" borderId="0" xfId="2" applyNumberFormat="1" applyFont="1" applyFill="1" applyBorder="1" applyAlignment="1" applyProtection="1">
      <protection locked="0"/>
    </xf>
    <xf numFmtId="0" fontId="0" fillId="0" borderId="0" xfId="2" applyFont="1" applyBorder="1"/>
    <xf numFmtId="0" fontId="0" fillId="0" borderId="0" xfId="0" applyFont="1"/>
    <xf numFmtId="166" fontId="20" fillId="0" borderId="0" xfId="0" applyNumberFormat="1" applyFont="1"/>
    <xf numFmtId="1" fontId="28" fillId="0" borderId="0" xfId="1" applyNumberFormat="1" applyFont="1" applyFill="1"/>
    <xf numFmtId="1" fontId="20" fillId="0" borderId="0" xfId="0" applyNumberFormat="1" applyFont="1" applyBorder="1"/>
    <xf numFmtId="166" fontId="20" fillId="0" borderId="0" xfId="0" applyNumberFormat="1" applyFont="1" applyBorder="1"/>
    <xf numFmtId="1" fontId="28" fillId="0" borderId="0" xfId="1" applyNumberFormat="1" applyFont="1" applyFill="1" applyBorder="1"/>
    <xf numFmtId="1" fontId="28" fillId="0" borderId="6" xfId="1" applyNumberFormat="1" applyFont="1" applyFill="1" applyBorder="1"/>
    <xf numFmtId="0" fontId="20" fillId="0" borderId="6" xfId="0" applyFont="1" applyFill="1" applyBorder="1"/>
    <xf numFmtId="166" fontId="20" fillId="0" borderId="6" xfId="0" applyNumberFormat="1" applyFont="1" applyBorder="1"/>
    <xf numFmtId="0" fontId="10" fillId="0" borderId="0" xfId="2" applyFont="1" applyProtection="1">
      <protection locked="0"/>
    </xf>
    <xf numFmtId="0" fontId="10" fillId="0" borderId="0" xfId="2" applyFont="1"/>
    <xf numFmtId="165" fontId="29" fillId="0" borderId="0" xfId="1" applyNumberFormat="1" applyFont="1" applyFill="1" applyBorder="1" applyAlignment="1">
      <alignment horizontal="right"/>
    </xf>
    <xf numFmtId="165" fontId="28" fillId="0" borderId="0" xfId="1" applyNumberFormat="1" applyFont="1" applyBorder="1" applyAlignment="1">
      <alignment horizontal="right" vertical="top"/>
    </xf>
    <xf numFmtId="0" fontId="14" fillId="0" borderId="0" xfId="0" applyFont="1" applyFill="1" applyBorder="1" applyAlignment="1">
      <alignment horizontal="left"/>
    </xf>
    <xf numFmtId="9" fontId="28" fillId="0" borderId="0" xfId="1" applyNumberFormat="1" applyFont="1"/>
    <xf numFmtId="165" fontId="31" fillId="0" borderId="0" xfId="1" applyNumberFormat="1" applyFont="1" applyFill="1" applyBorder="1" applyAlignment="1">
      <alignment horizontal="right" wrapText="1"/>
    </xf>
    <xf numFmtId="0" fontId="0" fillId="0" borderId="0" xfId="2" applyNumberFormat="1" applyFont="1" applyFill="1" applyBorder="1" applyAlignment="1" applyProtection="1">
      <alignment horizontal="right"/>
      <protection locked="0"/>
    </xf>
    <xf numFmtId="165" fontId="28" fillId="0" borderId="0" xfId="1" applyNumberFormat="1" applyFont="1" applyFill="1" applyBorder="1" applyAlignment="1">
      <alignment horizontal="left"/>
    </xf>
    <xf numFmtId="44" fontId="20" fillId="0" borderId="0" xfId="0" applyNumberFormat="1" applyFont="1"/>
    <xf numFmtId="44" fontId="28" fillId="0" borderId="0" xfId="1" applyNumberFormat="1" applyFont="1" applyFill="1" applyBorder="1"/>
    <xf numFmtId="0" fontId="0" fillId="0" borderId="0" xfId="0" applyAlignment="1">
      <alignment wrapText="1"/>
    </xf>
    <xf numFmtId="0" fontId="20" fillId="0" borderId="0" xfId="0" applyFont="1" applyAlignment="1" applyProtection="1">
      <alignment wrapText="1"/>
      <protection locked="0"/>
    </xf>
    <xf numFmtId="0" fontId="17" fillId="0" borderId="0" xfId="0" applyFont="1" applyAlignment="1">
      <alignment horizontal="left"/>
    </xf>
    <xf numFmtId="0" fontId="20" fillId="0" borderId="0" xfId="0" applyFont="1" applyBorder="1" applyAlignment="1">
      <alignment horizontal="left"/>
    </xf>
    <xf numFmtId="0" fontId="28" fillId="7" borderId="0" xfId="1" applyFont="1" applyFill="1"/>
    <xf numFmtId="0" fontId="29" fillId="7" borderId="0" xfId="1" applyFont="1" applyFill="1"/>
    <xf numFmtId="166" fontId="0" fillId="0" borderId="0" xfId="0" applyNumberFormat="1"/>
    <xf numFmtId="166" fontId="20" fillId="0" borderId="0" xfId="0" applyNumberFormat="1" applyFont="1" applyProtection="1">
      <protection locked="0"/>
    </xf>
    <xf numFmtId="166" fontId="0" fillId="0" borderId="0" xfId="0" applyNumberFormat="1" applyAlignment="1">
      <alignment horizontal="right"/>
    </xf>
    <xf numFmtId="0" fontId="34" fillId="0" borderId="0" xfId="0" applyFont="1" applyFill="1"/>
    <xf numFmtId="166" fontId="34" fillId="0" borderId="0" xfId="0" applyNumberFormat="1" applyFont="1" applyFill="1"/>
    <xf numFmtId="165" fontId="28" fillId="0" borderId="0" xfId="1" applyNumberFormat="1" applyFont="1" applyFill="1" applyBorder="1" applyAlignment="1">
      <alignment horizontal="left" vertical="top"/>
    </xf>
    <xf numFmtId="165" fontId="28" fillId="0" borderId="0" xfId="1" applyNumberFormat="1" applyFont="1" applyFill="1" applyBorder="1" applyAlignment="1">
      <alignment vertical="top"/>
    </xf>
    <xf numFmtId="0" fontId="28" fillId="0" borderId="0" xfId="1" applyNumberFormat="1" applyFont="1" applyFill="1" applyBorder="1" applyAlignment="1">
      <alignment horizontal="left" vertical="top"/>
    </xf>
    <xf numFmtId="0" fontId="28" fillId="0" borderId="0" xfId="1" applyFont="1" applyAlignment="1">
      <alignment horizontal="left"/>
    </xf>
    <xf numFmtId="0" fontId="33" fillId="0" borderId="0" xfId="1" applyFont="1" applyFill="1" applyBorder="1" applyAlignment="1">
      <alignment horizontal="left"/>
    </xf>
    <xf numFmtId="0" fontId="31" fillId="0" borderId="0" xfId="0" applyFont="1" applyFill="1" applyAlignment="1"/>
    <xf numFmtId="0" fontId="14" fillId="0" borderId="0" xfId="0" applyFont="1" applyFill="1" applyBorder="1" applyAlignment="1"/>
    <xf numFmtId="44" fontId="17" fillId="0" borderId="0" xfId="0" applyNumberFormat="1" applyFont="1" applyBorder="1"/>
    <xf numFmtId="0" fontId="31" fillId="0" borderId="0" xfId="0" applyFont="1" applyFill="1" applyBorder="1" applyAlignment="1">
      <alignment horizontal="left"/>
    </xf>
    <xf numFmtId="44" fontId="20" fillId="0" borderId="0" xfId="0" applyNumberFormat="1" applyFont="1" applyFill="1" applyBorder="1" applyAlignment="1">
      <alignment horizontal="left"/>
    </xf>
    <xf numFmtId="0" fontId="20" fillId="0" borderId="0" xfId="0" applyFont="1" applyFill="1" applyBorder="1" applyAlignment="1">
      <alignment horizontal="right"/>
    </xf>
    <xf numFmtId="0" fontId="14" fillId="0" borderId="0" xfId="0" applyFont="1" applyBorder="1" applyAlignment="1">
      <alignment horizontal="left"/>
    </xf>
    <xf numFmtId="44" fontId="17" fillId="0" borderId="0" xfId="0" applyNumberFormat="1" applyFont="1" applyFill="1" applyBorder="1"/>
    <xf numFmtId="44" fontId="20" fillId="0" borderId="0" xfId="0" applyNumberFormat="1" applyFont="1" applyFill="1" applyBorder="1"/>
    <xf numFmtId="0" fontId="14" fillId="0" borderId="4" xfId="0" applyFont="1" applyBorder="1"/>
    <xf numFmtId="0" fontId="20" fillId="0" borderId="0" xfId="0" applyFont="1" applyFill="1" applyAlignment="1">
      <alignment horizontal="left"/>
    </xf>
    <xf numFmtId="165" fontId="20" fillId="0" borderId="4" xfId="0" applyNumberFormat="1" applyFont="1" applyFill="1" applyBorder="1" applyAlignment="1" applyProtection="1"/>
    <xf numFmtId="165" fontId="20" fillId="0" borderId="6" xfId="0" applyNumberFormat="1" applyFont="1" applyFill="1" applyBorder="1" applyAlignment="1" applyProtection="1"/>
    <xf numFmtId="0" fontId="35" fillId="0" borderId="0" xfId="1" applyFont="1" applyFill="1" applyBorder="1" applyAlignment="1"/>
    <xf numFmtId="0" fontId="31" fillId="0" borderId="0" xfId="1" applyFont="1" applyFill="1" applyBorder="1" applyAlignment="1">
      <alignment horizontal="right" wrapText="1"/>
    </xf>
    <xf numFmtId="9" fontId="28" fillId="0" borderId="0" xfId="1" applyNumberFormat="1" applyFont="1" applyFill="1" applyBorder="1"/>
    <xf numFmtId="0" fontId="31" fillId="0" borderId="0" xfId="1" applyFont="1" applyFill="1" applyBorder="1" applyAlignment="1">
      <alignment wrapText="1"/>
    </xf>
    <xf numFmtId="165" fontId="31" fillId="0" borderId="0" xfId="1" applyNumberFormat="1" applyFont="1" applyFill="1" applyBorder="1" applyAlignment="1">
      <alignment wrapText="1"/>
    </xf>
    <xf numFmtId="9" fontId="28" fillId="0" borderId="0" xfId="1" applyNumberFormat="1" applyFont="1" applyBorder="1"/>
    <xf numFmtId="0" fontId="28" fillId="0" borderId="0" xfId="1" applyFont="1" applyBorder="1" applyAlignment="1">
      <alignment horizontal="right"/>
    </xf>
    <xf numFmtId="165" fontId="28" fillId="2" borderId="0" xfId="1" applyNumberFormat="1" applyFont="1" applyFill="1" applyBorder="1" applyAlignment="1">
      <alignment vertical="top" wrapText="1"/>
    </xf>
    <xf numFmtId="165" fontId="28" fillId="2" borderId="0" xfId="1" applyNumberFormat="1" applyFont="1" applyFill="1" applyBorder="1" applyAlignment="1">
      <alignment horizontal="right"/>
    </xf>
    <xf numFmtId="165" fontId="28" fillId="9" borderId="0" xfId="1" applyNumberFormat="1" applyFont="1" applyFill="1" applyBorder="1" applyAlignment="1">
      <alignment horizontal="right"/>
    </xf>
    <xf numFmtId="0" fontId="28" fillId="0" borderId="0" xfId="1" applyFont="1" applyFill="1" applyBorder="1" applyAlignment="1">
      <alignment horizontal="right"/>
    </xf>
    <xf numFmtId="165" fontId="27" fillId="0" borderId="0" xfId="0" applyNumberFormat="1" applyFont="1" applyBorder="1"/>
    <xf numFmtId="44" fontId="12" fillId="0" borderId="0" xfId="0" applyNumberFormat="1" applyFont="1" applyBorder="1" applyAlignment="1">
      <alignment horizontal="left"/>
    </xf>
    <xf numFmtId="0" fontId="20" fillId="0" borderId="1" xfId="0" applyFont="1" applyFill="1" applyBorder="1"/>
    <xf numFmtId="2" fontId="14" fillId="0" borderId="0" xfId="0" applyNumberFormat="1" applyFont="1" applyFill="1" applyBorder="1"/>
    <xf numFmtId="0" fontId="20" fillId="0" borderId="4" xfId="0" applyFont="1" applyFill="1" applyBorder="1"/>
    <xf numFmtId="0" fontId="26" fillId="0" borderId="0" xfId="0" applyFont="1" applyBorder="1"/>
    <xf numFmtId="0" fontId="26" fillId="0" borderId="0" xfId="0" applyFont="1" applyFill="1" applyBorder="1"/>
    <xf numFmtId="8" fontId="26" fillId="0" borderId="0" xfId="0" applyNumberFormat="1" applyFont="1" applyFill="1" applyBorder="1"/>
    <xf numFmtId="166" fontId="26" fillId="0" borderId="0" xfId="0" applyNumberFormat="1" applyFont="1" applyFill="1" applyBorder="1"/>
    <xf numFmtId="166" fontId="27" fillId="0" borderId="0" xfId="0" applyNumberFormat="1" applyFont="1" applyBorder="1"/>
    <xf numFmtId="0" fontId="36" fillId="0" borderId="0" xfId="0" applyFont="1" applyBorder="1"/>
    <xf numFmtId="165" fontId="28" fillId="0" borderId="4" xfId="1" applyNumberFormat="1" applyFont="1" applyBorder="1"/>
    <xf numFmtId="0" fontId="12" fillId="0" borderId="1" xfId="0" applyFont="1" applyBorder="1"/>
    <xf numFmtId="0" fontId="26" fillId="0" borderId="1" xfId="0" applyFont="1" applyBorder="1" applyAlignment="1">
      <alignment horizontal="right"/>
    </xf>
    <xf numFmtId="0" fontId="26" fillId="0" borderId="1" xfId="0" applyFont="1" applyFill="1" applyBorder="1" applyAlignment="1">
      <alignment horizontal="left"/>
    </xf>
    <xf numFmtId="166" fontId="26" fillId="0" borderId="4" xfId="0" applyNumberFormat="1" applyFont="1" applyFill="1" applyBorder="1"/>
    <xf numFmtId="166" fontId="27" fillId="0" borderId="4" xfId="0" applyNumberFormat="1" applyFont="1" applyBorder="1"/>
    <xf numFmtId="0" fontId="17" fillId="0" borderId="1" xfId="0" applyNumberFormat="1" applyFont="1" applyFill="1" applyBorder="1" applyAlignment="1" applyProtection="1">
      <protection locked="0"/>
    </xf>
    <xf numFmtId="0" fontId="14" fillId="0" borderId="1" xfId="0" applyNumberFormat="1" applyFont="1" applyFill="1" applyBorder="1" applyAlignment="1" applyProtection="1">
      <protection locked="0"/>
    </xf>
    <xf numFmtId="44" fontId="20" fillId="0" borderId="6" xfId="0" applyNumberFormat="1" applyFont="1" applyFill="1" applyBorder="1"/>
    <xf numFmtId="0" fontId="20" fillId="0" borderId="7" xfId="0" applyFont="1" applyFill="1" applyBorder="1"/>
    <xf numFmtId="0" fontId="24" fillId="0" borderId="0" xfId="0" applyFont="1" applyFill="1" applyBorder="1"/>
    <xf numFmtId="1" fontId="31" fillId="0" borderId="0" xfId="0" applyNumberFormat="1" applyFont="1" applyFill="1" applyBorder="1" applyAlignment="1">
      <alignment horizontal="center" wrapText="1"/>
    </xf>
    <xf numFmtId="0" fontId="17" fillId="0" borderId="0" xfId="0" applyFont="1" applyFill="1" applyBorder="1" applyAlignment="1">
      <alignment horizontal="left" wrapText="1"/>
    </xf>
    <xf numFmtId="0" fontId="20" fillId="0" borderId="1" xfId="0" applyFont="1" applyBorder="1" applyAlignment="1"/>
    <xf numFmtId="0" fontId="21" fillId="0" borderId="0" xfId="2" applyNumberFormat="1" applyFont="1" applyFill="1" applyBorder="1" applyAlignment="1" applyProtection="1">
      <protection locked="0"/>
    </xf>
    <xf numFmtId="0" fontId="18" fillId="0" borderId="0" xfId="0" applyFont="1"/>
    <xf numFmtId="0" fontId="0" fillId="0" borderId="0" xfId="0" applyAlignment="1" applyProtection="1">
      <alignment horizontal="left"/>
      <protection locked="0"/>
    </xf>
    <xf numFmtId="0" fontId="19" fillId="0" borderId="0" xfId="0" applyFont="1" applyProtection="1">
      <protection locked="0"/>
    </xf>
    <xf numFmtId="0" fontId="0" fillId="0" borderId="0" xfId="2" applyNumberFormat="1" applyFont="1" applyFill="1" applyBorder="1" applyAlignment="1" applyProtection="1">
      <alignment vertical="top" wrapText="1"/>
      <protection locked="0"/>
    </xf>
    <xf numFmtId="0" fontId="10" fillId="0" borderId="0" xfId="2" applyNumberFormat="1" applyFont="1" applyFill="1" applyBorder="1" applyAlignment="1" applyProtection="1">
      <alignment vertical="top" wrapText="1"/>
      <protection locked="0"/>
    </xf>
    <xf numFmtId="0" fontId="10" fillId="0" borderId="0" xfId="2" applyFont="1" applyFill="1" applyBorder="1"/>
    <xf numFmtId="165" fontId="20" fillId="0" borderId="0" xfId="2" applyNumberFormat="1" applyFill="1" applyProtection="1">
      <protection locked="0"/>
    </xf>
    <xf numFmtId="0" fontId="0" fillId="0" borderId="0" xfId="0" applyAlignment="1" applyProtection="1">
      <alignment vertical="top" wrapText="1"/>
      <protection locked="0"/>
    </xf>
    <xf numFmtId="0" fontId="0" fillId="0" borderId="0" xfId="2" applyFont="1" applyFill="1"/>
    <xf numFmtId="165" fontId="20" fillId="0" borderId="7" xfId="0" applyNumberFormat="1" applyFont="1" applyBorder="1"/>
    <xf numFmtId="165" fontId="0" fillId="0" borderId="0" xfId="0" applyNumberFormat="1" applyFill="1" applyProtection="1">
      <protection locked="0"/>
    </xf>
    <xf numFmtId="0" fontId="28" fillId="0" borderId="0" xfId="1" applyNumberFormat="1" applyFont="1" applyBorder="1"/>
    <xf numFmtId="1" fontId="28" fillId="0" borderId="0" xfId="1" applyNumberFormat="1" applyFont="1" applyBorder="1"/>
    <xf numFmtId="0" fontId="28" fillId="0" borderId="0" xfId="1" applyNumberFormat="1" applyFont="1" applyFill="1" applyBorder="1"/>
    <xf numFmtId="0" fontId="28" fillId="0" borderId="0" xfId="1" applyNumberFormat="1" applyFont="1" applyFill="1" applyBorder="1" applyAlignment="1">
      <alignment horizontal="right"/>
    </xf>
    <xf numFmtId="165" fontId="15" fillId="0" borderId="0" xfId="2" applyNumberFormat="1" applyFont="1" applyFill="1" applyProtection="1">
      <protection locked="0"/>
    </xf>
    <xf numFmtId="2" fontId="20" fillId="0" borderId="0" xfId="0" applyNumberFormat="1" applyFont="1" applyFill="1" applyBorder="1" applyAlignment="1">
      <alignment horizontal="right"/>
    </xf>
    <xf numFmtId="1" fontId="20" fillId="0" borderId="0" xfId="0" applyNumberFormat="1" applyFont="1" applyFill="1" applyBorder="1" applyAlignment="1">
      <alignment horizontal="right"/>
    </xf>
    <xf numFmtId="164" fontId="20" fillId="0" borderId="0" xfId="0" applyNumberFormat="1" applyFont="1" applyFill="1" applyBorder="1"/>
    <xf numFmtId="165" fontId="20" fillId="0" borderId="0" xfId="0" applyNumberFormat="1" applyFont="1" applyFill="1" applyBorder="1" applyAlignment="1">
      <alignment horizontal="center"/>
    </xf>
    <xf numFmtId="0" fontId="14" fillId="0" borderId="0" xfId="0" applyFont="1" applyFill="1" applyBorder="1" applyAlignment="1">
      <alignment horizontal="center"/>
    </xf>
    <xf numFmtId="165" fontId="13" fillId="0" borderId="0" xfId="2" applyNumberFormat="1" applyFont="1" applyFill="1" applyBorder="1" applyAlignment="1" applyProtection="1"/>
    <xf numFmtId="0" fontId="11" fillId="0" borderId="0" xfId="2" applyNumberFormat="1" applyFont="1" applyFill="1" applyBorder="1" applyAlignment="1" applyProtection="1">
      <protection locked="0"/>
    </xf>
    <xf numFmtId="0" fontId="29" fillId="0" borderId="0" xfId="1" applyFont="1" applyFill="1"/>
    <xf numFmtId="169" fontId="20" fillId="0" borderId="0" xfId="0" applyNumberFormat="1" applyFont="1"/>
    <xf numFmtId="169" fontId="20" fillId="0" borderId="0" xfId="0" applyNumberFormat="1" applyFont="1" applyBorder="1"/>
    <xf numFmtId="169" fontId="20" fillId="0" borderId="6" xfId="0" applyNumberFormat="1" applyFont="1" applyBorder="1"/>
    <xf numFmtId="0" fontId="20" fillId="0" borderId="2" xfId="0" applyFont="1" applyBorder="1"/>
    <xf numFmtId="0" fontId="20" fillId="0" borderId="8" xfId="0" applyFont="1" applyBorder="1"/>
    <xf numFmtId="2" fontId="20" fillId="0" borderId="6" xfId="0" applyNumberFormat="1" applyFont="1" applyBorder="1"/>
    <xf numFmtId="166" fontId="20" fillId="0" borderId="8" xfId="0" applyNumberFormat="1" applyFont="1" applyBorder="1"/>
    <xf numFmtId="0" fontId="20"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vertical="center"/>
    </xf>
    <xf numFmtId="0" fontId="9" fillId="0" borderId="0" xfId="0" applyFont="1" applyAlignment="1">
      <alignment horizontal="left" vertical="center"/>
    </xf>
    <xf numFmtId="0" fontId="9" fillId="0" borderId="0" xfId="0" applyFont="1" applyBorder="1" applyAlignment="1">
      <alignment vertical="center"/>
    </xf>
    <xf numFmtId="165" fontId="17" fillId="0" borderId="0" xfId="0" applyNumberFormat="1" applyFont="1" applyFill="1" applyBorder="1"/>
    <xf numFmtId="165" fontId="17" fillId="0" borderId="6" xfId="0" applyNumberFormat="1" applyFont="1" applyFill="1" applyBorder="1"/>
    <xf numFmtId="0" fontId="9" fillId="0" borderId="0" xfId="0" applyFont="1" applyFill="1" applyBorder="1" applyAlignment="1">
      <alignment vertical="center"/>
    </xf>
    <xf numFmtId="0" fontId="35" fillId="0" borderId="0" xfId="1" applyFont="1" applyFill="1" applyAlignment="1">
      <alignment vertical="center"/>
    </xf>
    <xf numFmtId="166" fontId="0" fillId="0" borderId="0" xfId="0" applyNumberFormat="1" applyBorder="1"/>
    <xf numFmtId="166" fontId="0" fillId="0" borderId="0" xfId="0" applyNumberFormat="1" applyBorder="1" applyAlignment="1">
      <alignment horizontal="right"/>
    </xf>
    <xf numFmtId="0" fontId="20" fillId="0" borderId="0" xfId="0" applyFont="1" applyAlignment="1">
      <alignment horizontal="left" vertical="top"/>
    </xf>
    <xf numFmtId="0" fontId="17" fillId="0" borderId="0" xfId="0" applyFont="1" applyFill="1" applyProtection="1">
      <protection locked="0"/>
    </xf>
    <xf numFmtId="0" fontId="0" fillId="0" borderId="0" xfId="2" applyFont="1" applyFill="1" applyBorder="1"/>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7" fillId="0" borderId="0" xfId="0" applyFont="1" applyFill="1" applyBorder="1" applyAlignment="1">
      <alignment horizontal="left"/>
    </xf>
    <xf numFmtId="0" fontId="20" fillId="0" borderId="0" xfId="0" applyFont="1" applyFill="1" applyAlignment="1">
      <alignment wrapText="1"/>
    </xf>
    <xf numFmtId="0" fontId="17" fillId="0" borderId="4" xfId="0" applyFont="1" applyFill="1" applyBorder="1" applyAlignment="1">
      <alignment wrapText="1"/>
    </xf>
    <xf numFmtId="0" fontId="20" fillId="0" borderId="0" xfId="0" applyFont="1" applyFill="1" applyBorder="1" applyAlignment="1">
      <alignment wrapText="1"/>
    </xf>
    <xf numFmtId="0" fontId="20" fillId="0" borderId="0" xfId="0" applyFont="1" applyFill="1" applyAlignment="1">
      <alignment horizontal="left" wrapText="1"/>
    </xf>
    <xf numFmtId="1" fontId="20" fillId="0" borderId="6" xfId="0" applyNumberFormat="1" applyFont="1" applyFill="1" applyBorder="1"/>
    <xf numFmtId="165" fontId="20" fillId="0" borderId="6" xfId="0" applyNumberFormat="1" applyFont="1" applyFill="1" applyBorder="1"/>
    <xf numFmtId="0" fontId="14" fillId="0" borderId="0" xfId="0" applyFont="1" applyFill="1" applyBorder="1" applyAlignment="1">
      <alignment horizontal="right" vertical="top"/>
    </xf>
    <xf numFmtId="0" fontId="14" fillId="0" borderId="6" xfId="0" applyFont="1" applyFill="1" applyBorder="1"/>
    <xf numFmtId="44" fontId="17" fillId="0" borderId="0" xfId="0" applyNumberFormat="1" applyFont="1" applyFill="1"/>
    <xf numFmtId="0" fontId="14" fillId="0" borderId="0" xfId="0" applyFont="1" applyFill="1" applyBorder="1" applyAlignment="1">
      <alignment horizontal="right"/>
    </xf>
    <xf numFmtId="1" fontId="14" fillId="0" borderId="0" xfId="0" applyNumberFormat="1" applyFont="1" applyFill="1" applyBorder="1"/>
    <xf numFmtId="44" fontId="20" fillId="0" borderId="0" xfId="0" applyNumberFormat="1" applyFont="1" applyFill="1" applyBorder="1" applyAlignment="1">
      <alignment horizontal="center" vertical="center" wrapText="1"/>
    </xf>
    <xf numFmtId="44" fontId="20" fillId="0" borderId="0" xfId="0" applyNumberFormat="1" applyFont="1" applyFill="1" applyBorder="1" applyAlignment="1">
      <alignment horizontal="center" vertical="center"/>
    </xf>
    <xf numFmtId="0" fontId="14" fillId="0" borderId="0" xfId="0" applyFont="1" applyFill="1" applyBorder="1" applyAlignment="1">
      <alignment horizontal="left" wrapText="1"/>
    </xf>
    <xf numFmtId="0" fontId="14" fillId="0" borderId="4" xfId="0" applyFont="1" applyFill="1" applyBorder="1" applyAlignment="1">
      <alignment horizontal="left" wrapText="1"/>
    </xf>
    <xf numFmtId="44" fontId="17" fillId="0" borderId="0" xfId="0" applyNumberFormat="1" applyFont="1" applyFill="1" applyBorder="1" applyAlignment="1">
      <alignment horizontal="center" vertical="center"/>
    </xf>
    <xf numFmtId="0" fontId="14" fillId="0" borderId="4" xfId="0" applyFont="1" applyFill="1" applyBorder="1" applyAlignment="1">
      <alignment horizontal="left"/>
    </xf>
    <xf numFmtId="44" fontId="20" fillId="0" borderId="6" xfId="0" applyNumberFormat="1" applyFont="1" applyFill="1" applyBorder="1" applyAlignment="1">
      <alignment horizontal="left"/>
    </xf>
    <xf numFmtId="44" fontId="17" fillId="0" borderId="0" xfId="0" applyNumberFormat="1" applyFont="1" applyFill="1" applyBorder="1" applyAlignment="1">
      <alignment horizontal="right"/>
    </xf>
    <xf numFmtId="0" fontId="17" fillId="0" borderId="0" xfId="0" applyFont="1" applyFill="1" applyAlignment="1">
      <alignment wrapText="1"/>
    </xf>
    <xf numFmtId="2" fontId="20" fillId="0" borderId="6" xfId="0" applyNumberFormat="1" applyFont="1" applyFill="1" applyBorder="1" applyAlignment="1">
      <alignment horizontal="right"/>
    </xf>
    <xf numFmtId="0" fontId="17" fillId="0" borderId="0" xfId="0" applyNumberFormat="1" applyFont="1" applyFill="1" applyBorder="1" applyAlignment="1">
      <alignment wrapText="1"/>
    </xf>
    <xf numFmtId="0" fontId="20" fillId="0" borderId="0" xfId="0" applyNumberFormat="1" applyFont="1" applyFill="1" applyBorder="1" applyAlignment="1">
      <alignment horizontal="right"/>
    </xf>
    <xf numFmtId="44" fontId="20" fillId="0" borderId="0" xfId="0" applyNumberFormat="1" applyFont="1" applyFill="1"/>
    <xf numFmtId="0" fontId="14" fillId="0" borderId="4" xfId="0" applyFont="1" applyFill="1" applyBorder="1"/>
    <xf numFmtId="168" fontId="14" fillId="0" borderId="0" xfId="0" applyNumberFormat="1" applyFont="1" applyFill="1" applyBorder="1" applyAlignment="1"/>
    <xf numFmtId="164" fontId="14" fillId="0" borderId="0" xfId="0" applyNumberFormat="1" applyFont="1" applyFill="1" applyBorder="1"/>
    <xf numFmtId="165" fontId="14" fillId="0" borderId="0" xfId="0" applyNumberFormat="1" applyFont="1" applyFill="1" applyBorder="1"/>
    <xf numFmtId="0" fontId="12" fillId="0" borderId="0" xfId="0" applyFont="1" applyFill="1" applyBorder="1" applyAlignment="1">
      <alignment horizontal="left"/>
    </xf>
    <xf numFmtId="165" fontId="20" fillId="0" borderId="0" xfId="0" applyNumberFormat="1" applyFont="1" applyFill="1" applyBorder="1" applyAlignment="1">
      <alignment horizontal="right"/>
    </xf>
    <xf numFmtId="165" fontId="17" fillId="0" borderId="0" xfId="0" applyNumberFormat="1" applyFont="1" applyFill="1" applyBorder="1" applyAlignment="1">
      <alignment horizontal="right"/>
    </xf>
    <xf numFmtId="165" fontId="20" fillId="0" borderId="0" xfId="0" applyNumberFormat="1" applyFont="1" applyFill="1" applyBorder="1" applyAlignment="1">
      <alignment horizontal="right" vertical="top"/>
    </xf>
    <xf numFmtId="166" fontId="20" fillId="0" borderId="0" xfId="0" applyNumberFormat="1" applyFont="1" applyFill="1" applyBorder="1" applyAlignment="1">
      <alignment vertical="top"/>
    </xf>
    <xf numFmtId="44" fontId="17" fillId="0" borderId="0" xfId="0" applyNumberFormat="1" applyFont="1" applyFill="1" applyBorder="1" applyAlignment="1">
      <alignment horizontal="right" wrapText="1"/>
    </xf>
    <xf numFmtId="165" fontId="20" fillId="0" borderId="0" xfId="0" applyNumberFormat="1" applyFont="1" applyFill="1" applyBorder="1" applyAlignment="1">
      <alignment vertical="top"/>
    </xf>
    <xf numFmtId="165" fontId="20" fillId="0" borderId="0" xfId="0" applyNumberFormat="1" applyFont="1" applyFill="1" applyBorder="1" applyAlignment="1">
      <alignment vertical="top" wrapText="1"/>
    </xf>
    <xf numFmtId="165" fontId="17" fillId="0" borderId="0" xfId="0" applyNumberFormat="1" applyFont="1" applyFill="1" applyBorder="1" applyAlignment="1">
      <alignment vertical="top" wrapText="1"/>
    </xf>
    <xf numFmtId="165" fontId="14" fillId="0" borderId="0" xfId="0" applyNumberFormat="1" applyFont="1" applyFill="1" applyBorder="1" applyAlignment="1">
      <alignment horizontal="right"/>
    </xf>
    <xf numFmtId="0" fontId="20" fillId="0" borderId="0" xfId="0" applyFont="1" applyFill="1" applyBorder="1" applyAlignment="1">
      <alignment vertical="top"/>
    </xf>
    <xf numFmtId="165" fontId="20" fillId="0" borderId="0" xfId="0" applyNumberFormat="1" applyFont="1" applyFill="1" applyBorder="1" applyAlignment="1">
      <alignment horizontal="center" vertical="top"/>
    </xf>
    <xf numFmtId="2" fontId="20" fillId="0" borderId="0" xfId="0" applyNumberFormat="1" applyFont="1" applyFill="1" applyBorder="1" applyAlignment="1">
      <alignment vertical="top"/>
    </xf>
    <xf numFmtId="1" fontId="20" fillId="0" borderId="0" xfId="0" applyNumberFormat="1" applyFont="1" applyFill="1" applyBorder="1" applyAlignment="1">
      <alignment vertical="top" wrapText="1"/>
    </xf>
    <xf numFmtId="165" fontId="20" fillId="0" borderId="6" xfId="0" applyNumberFormat="1" applyFont="1" applyFill="1" applyBorder="1" applyAlignment="1">
      <alignment horizontal="right"/>
    </xf>
    <xf numFmtId="0" fontId="20" fillId="0" borderId="6" xfId="0" applyFont="1" applyFill="1" applyBorder="1" applyAlignment="1">
      <alignment horizontal="right"/>
    </xf>
    <xf numFmtId="165" fontId="17" fillId="0" borderId="6" xfId="0" applyNumberFormat="1" applyFont="1" applyFill="1" applyBorder="1" applyAlignment="1">
      <alignment horizontal="right"/>
    </xf>
    <xf numFmtId="165" fontId="20" fillId="0" borderId="4" xfId="0" applyNumberFormat="1" applyFont="1" applyFill="1" applyBorder="1" applyAlignment="1">
      <alignment horizontal="right"/>
    </xf>
    <xf numFmtId="0" fontId="14" fillId="0" borderId="7" xfId="0" applyFont="1" applyFill="1" applyBorder="1" applyAlignment="1">
      <alignment horizontal="left" wrapText="1"/>
    </xf>
    <xf numFmtId="165" fontId="29" fillId="6" borderId="0" xfId="1" applyNumberFormat="1" applyFont="1" applyFill="1" applyBorder="1" applyAlignment="1">
      <alignment horizontal="right"/>
    </xf>
    <xf numFmtId="0" fontId="28" fillId="6" borderId="0" xfId="1" applyFont="1" applyFill="1" applyBorder="1" applyAlignment="1">
      <alignment horizontal="right"/>
    </xf>
    <xf numFmtId="0" fontId="28" fillId="6" borderId="0" xfId="1" applyFont="1" applyFill="1" applyBorder="1"/>
    <xf numFmtId="9" fontId="28" fillId="6" borderId="0" xfId="1" applyNumberFormat="1" applyFont="1" applyFill="1" applyBorder="1"/>
    <xf numFmtId="2" fontId="28" fillId="6" borderId="0" xfId="1" applyNumberFormat="1" applyFont="1" applyFill="1" applyBorder="1"/>
    <xf numFmtId="165" fontId="28" fillId="6" borderId="0" xfId="1" applyNumberFormat="1" applyFont="1" applyFill="1" applyBorder="1"/>
    <xf numFmtId="165" fontId="28" fillId="6" borderId="0" xfId="1" applyNumberFormat="1" applyFont="1" applyFill="1" applyBorder="1" applyAlignment="1">
      <alignment horizontal="right"/>
    </xf>
    <xf numFmtId="2" fontId="28" fillId="0" borderId="0" xfId="1" applyNumberFormat="1" applyFont="1" applyFill="1" applyBorder="1"/>
    <xf numFmtId="0" fontId="33" fillId="0" borderId="0" xfId="1" applyFont="1" applyFill="1" applyBorder="1" applyAlignment="1">
      <alignment horizontal="right"/>
    </xf>
    <xf numFmtId="0" fontId="29" fillId="6" borderId="0" xfId="1" applyFont="1" applyFill="1" applyBorder="1" applyAlignment="1">
      <alignment horizontal="right"/>
    </xf>
    <xf numFmtId="1" fontId="28" fillId="6" borderId="0" xfId="1" applyNumberFormat="1" applyFont="1" applyFill="1" applyBorder="1"/>
    <xf numFmtId="44" fontId="28" fillId="6" borderId="0" xfId="1" applyNumberFormat="1" applyFont="1" applyFill="1" applyBorder="1"/>
    <xf numFmtId="0" fontId="33" fillId="0" borderId="0" xfId="1" applyFont="1" applyBorder="1" applyAlignment="1">
      <alignment horizontal="left"/>
    </xf>
    <xf numFmtId="2" fontId="28" fillId="0" borderId="0" xfId="1" applyNumberFormat="1" applyFont="1" applyBorder="1" applyAlignment="1">
      <alignment horizontal="right"/>
    </xf>
    <xf numFmtId="0" fontId="28" fillId="0" borderId="0" xfId="1" applyFont="1" applyFill="1" applyBorder="1" applyAlignment="1">
      <alignment horizontal="right" vertical="top"/>
    </xf>
    <xf numFmtId="165" fontId="29" fillId="0" borderId="0" xfId="1" applyNumberFormat="1" applyFont="1" applyFill="1" applyBorder="1"/>
    <xf numFmtId="0" fontId="0" fillId="0" borderId="0" xfId="0" applyFill="1" applyAlignment="1">
      <alignment vertical="center"/>
    </xf>
    <xf numFmtId="0" fontId="35" fillId="0" borderId="0" xfId="1" applyFont="1" applyFill="1" applyBorder="1" applyAlignment="1">
      <alignment vertical="center"/>
    </xf>
    <xf numFmtId="9" fontId="30" fillId="0" borderId="0" xfId="1" applyNumberFormat="1" applyFont="1" applyFill="1" applyBorder="1" applyAlignment="1">
      <alignment vertical="center"/>
    </xf>
    <xf numFmtId="165" fontId="30" fillId="0" borderId="0" xfId="1" applyNumberFormat="1" applyFont="1" applyFill="1" applyBorder="1" applyAlignment="1">
      <alignment vertical="center"/>
    </xf>
    <xf numFmtId="0" fontId="28" fillId="0" borderId="0" xfId="1" applyFont="1" applyFill="1" applyAlignment="1">
      <alignment vertical="center"/>
    </xf>
    <xf numFmtId="0" fontId="35" fillId="0" borderId="0" xfId="1" applyFont="1" applyFill="1" applyBorder="1" applyAlignment="1">
      <alignment horizontal="center"/>
    </xf>
    <xf numFmtId="166" fontId="20" fillId="0" borderId="0" xfId="0" applyNumberFormat="1" applyFont="1" applyFill="1" applyAlignment="1">
      <alignment horizontal="right" vertical="center"/>
    </xf>
    <xf numFmtId="0" fontId="0" fillId="0" borderId="0" xfId="0" applyFont="1" applyFill="1" applyAlignment="1">
      <alignment vertical="center"/>
    </xf>
    <xf numFmtId="165" fontId="31" fillId="0" borderId="4" xfId="1" applyNumberFormat="1" applyFont="1" applyFill="1" applyBorder="1" applyAlignment="1">
      <alignment wrapText="1"/>
    </xf>
    <xf numFmtId="165" fontId="29" fillId="0" borderId="4" xfId="1" applyNumberFormat="1" applyFont="1" applyBorder="1"/>
    <xf numFmtId="165" fontId="28" fillId="0" borderId="6" xfId="1" applyNumberFormat="1" applyFont="1" applyFill="1" applyBorder="1" applyAlignment="1">
      <alignment horizontal="right"/>
    </xf>
    <xf numFmtId="0" fontId="28" fillId="0" borderId="6" xfId="1" applyFont="1" applyFill="1" applyBorder="1" applyAlignment="1">
      <alignment horizontal="right"/>
    </xf>
    <xf numFmtId="2" fontId="28" fillId="0" borderId="6" xfId="1" applyNumberFormat="1" applyFont="1" applyFill="1" applyBorder="1"/>
    <xf numFmtId="165" fontId="28" fillId="0" borderId="6" xfId="1" applyNumberFormat="1" applyFont="1" applyFill="1" applyBorder="1"/>
    <xf numFmtId="165" fontId="28" fillId="2" borderId="6" xfId="1" applyNumberFormat="1" applyFont="1" applyFill="1" applyBorder="1" applyAlignment="1">
      <alignment horizontal="right"/>
    </xf>
    <xf numFmtId="165" fontId="31" fillId="0" borderId="1" xfId="1" applyNumberFormat="1" applyFont="1" applyFill="1" applyBorder="1" applyAlignment="1">
      <alignment wrapText="1"/>
    </xf>
    <xf numFmtId="165" fontId="28" fillId="6" borderId="1" xfId="1" applyNumberFormat="1" applyFont="1" applyFill="1" applyBorder="1"/>
    <xf numFmtId="165" fontId="28" fillId="6" borderId="4" xfId="1" applyNumberFormat="1" applyFont="1" applyFill="1" applyBorder="1"/>
    <xf numFmtId="165" fontId="28" fillId="0" borderId="1" xfId="1" applyNumberFormat="1" applyFont="1" applyBorder="1"/>
    <xf numFmtId="165" fontId="28" fillId="0" borderId="1" xfId="1" applyNumberFormat="1" applyFont="1" applyBorder="1" applyAlignment="1">
      <alignment horizontal="right" vertical="top"/>
    </xf>
    <xf numFmtId="165" fontId="28" fillId="0" borderId="1" xfId="1" applyNumberFormat="1" applyFont="1" applyFill="1" applyBorder="1"/>
    <xf numFmtId="165" fontId="28" fillId="0" borderId="5" xfId="1" applyNumberFormat="1" applyFont="1" applyBorder="1"/>
    <xf numFmtId="165" fontId="31" fillId="0" borderId="1" xfId="1" applyNumberFormat="1" applyFont="1" applyFill="1" applyBorder="1" applyAlignment="1">
      <alignment horizontal="right" wrapText="1"/>
    </xf>
    <xf numFmtId="0" fontId="31" fillId="0" borderId="4" xfId="1" applyFont="1" applyFill="1" applyBorder="1" applyAlignment="1">
      <alignment wrapText="1"/>
    </xf>
    <xf numFmtId="165" fontId="29" fillId="6" borderId="1" xfId="1" applyNumberFormat="1" applyFont="1" applyFill="1" applyBorder="1" applyAlignment="1">
      <alignment horizontal="right"/>
    </xf>
    <xf numFmtId="2" fontId="28" fillId="6" borderId="4" xfId="1" applyNumberFormat="1" applyFont="1" applyFill="1" applyBorder="1"/>
    <xf numFmtId="165" fontId="28" fillId="0" borderId="1" xfId="1" applyNumberFormat="1" applyFont="1" applyFill="1" applyBorder="1" applyAlignment="1">
      <alignment horizontal="right"/>
    </xf>
    <xf numFmtId="2" fontId="28" fillId="0" borderId="4" xfId="1" applyNumberFormat="1" applyFont="1" applyFill="1" applyBorder="1"/>
    <xf numFmtId="2" fontId="29" fillId="6" borderId="4" xfId="1" applyNumberFormat="1" applyFont="1" applyFill="1" applyBorder="1"/>
    <xf numFmtId="165" fontId="29" fillId="0" borderId="1" xfId="1" applyNumberFormat="1" applyFont="1" applyFill="1" applyBorder="1" applyAlignment="1">
      <alignment horizontal="right"/>
    </xf>
    <xf numFmtId="0" fontId="28" fillId="0" borderId="4" xfId="1" applyFont="1" applyFill="1" applyBorder="1"/>
    <xf numFmtId="165" fontId="28" fillId="0" borderId="1" xfId="1" applyNumberFormat="1" applyFont="1" applyBorder="1" applyAlignment="1">
      <alignment horizontal="right"/>
    </xf>
    <xf numFmtId="2" fontId="28" fillId="0" borderId="4" xfId="1" applyNumberFormat="1" applyFont="1" applyFill="1" applyBorder="1" applyAlignment="1">
      <alignment horizontal="right" vertical="top"/>
    </xf>
    <xf numFmtId="165" fontId="28" fillId="0" borderId="5" xfId="1" applyNumberFormat="1" applyFont="1" applyFill="1" applyBorder="1" applyAlignment="1">
      <alignment horizontal="right"/>
    </xf>
    <xf numFmtId="2" fontId="28" fillId="0" borderId="7" xfId="1" applyNumberFormat="1" applyFont="1" applyFill="1" applyBorder="1"/>
    <xf numFmtId="0" fontId="20" fillId="6" borderId="2" xfId="1" applyFont="1" applyFill="1" applyBorder="1" applyAlignment="1">
      <alignment horizontal="left"/>
    </xf>
    <xf numFmtId="0" fontId="20" fillId="6" borderId="8" xfId="1" applyFont="1" applyFill="1" applyBorder="1" applyAlignment="1">
      <alignment horizontal="left"/>
    </xf>
    <xf numFmtId="0" fontId="20" fillId="6" borderId="3" xfId="1" applyFont="1" applyFill="1" applyBorder="1" applyAlignment="1">
      <alignment horizontal="left"/>
    </xf>
    <xf numFmtId="0" fontId="9" fillId="6" borderId="8" xfId="1" applyFont="1" applyFill="1" applyBorder="1" applyAlignment="1">
      <alignment horizontal="center"/>
    </xf>
    <xf numFmtId="0" fontId="9" fillId="6" borderId="3" xfId="1" applyFont="1" applyFill="1" applyBorder="1" applyAlignment="1">
      <alignment horizontal="center"/>
    </xf>
    <xf numFmtId="0" fontId="0" fillId="0" borderId="0" xfId="0" applyFill="1" applyBorder="1" applyAlignment="1">
      <alignment vertical="center"/>
    </xf>
    <xf numFmtId="0" fontId="29" fillId="0" borderId="0" xfId="1" applyFont="1" applyFill="1" applyBorder="1"/>
    <xf numFmtId="0" fontId="29" fillId="0" borderId="0" xfId="1" applyFont="1" applyBorder="1"/>
    <xf numFmtId="0" fontId="20" fillId="6" borderId="9" xfId="0" applyNumberFormat="1" applyFont="1" applyFill="1" applyBorder="1" applyAlignment="1" applyProtection="1">
      <alignment vertical="center"/>
      <protection locked="0"/>
    </xf>
    <xf numFmtId="0" fontId="31" fillId="0" borderId="10" xfId="1" applyFont="1" applyFill="1" applyBorder="1" applyAlignment="1">
      <alignment horizontal="left" wrapText="1"/>
    </xf>
    <xf numFmtId="0" fontId="28" fillId="6" borderId="10" xfId="1" applyFont="1" applyFill="1" applyBorder="1" applyAlignment="1">
      <alignment horizontal="left"/>
    </xf>
    <xf numFmtId="0" fontId="28" fillId="0" borderId="10" xfId="1" applyFont="1" applyFill="1" applyBorder="1" applyAlignment="1">
      <alignment horizontal="left"/>
    </xf>
    <xf numFmtId="0" fontId="33" fillId="0" borderId="10" xfId="1" applyFont="1" applyBorder="1" applyAlignment="1">
      <alignment horizontal="left"/>
    </xf>
    <xf numFmtId="0" fontId="28" fillId="0" borderId="10" xfId="1" applyFont="1" applyBorder="1" applyAlignment="1">
      <alignment horizontal="left"/>
    </xf>
    <xf numFmtId="0" fontId="33" fillId="0" borderId="10" xfId="1" applyFont="1" applyFill="1" applyBorder="1" applyAlignment="1">
      <alignment horizontal="left"/>
    </xf>
    <xf numFmtId="0" fontId="28" fillId="0" borderId="11" xfId="1" applyFont="1" applyFill="1" applyBorder="1" applyAlignment="1">
      <alignment horizontal="left"/>
    </xf>
    <xf numFmtId="2" fontId="28" fillId="0" borderId="1" xfId="1" applyNumberFormat="1" applyFont="1" applyFill="1" applyBorder="1"/>
    <xf numFmtId="2" fontId="28" fillId="6" borderId="1" xfId="1" applyNumberFormat="1" applyFont="1" applyFill="1" applyBorder="1"/>
    <xf numFmtId="2" fontId="28" fillId="0" borderId="1" xfId="1" applyNumberFormat="1" applyFont="1" applyBorder="1"/>
    <xf numFmtId="0" fontId="0" fillId="6" borderId="9" xfId="0" applyFont="1" applyFill="1" applyBorder="1"/>
    <xf numFmtId="0" fontId="31" fillId="5" borderId="10" xfId="1" applyFont="1" applyFill="1" applyBorder="1" applyAlignment="1">
      <alignment wrapText="1"/>
    </xf>
    <xf numFmtId="0" fontId="28" fillId="6" borderId="10" xfId="1" applyFont="1" applyFill="1" applyBorder="1"/>
    <xf numFmtId="0" fontId="28" fillId="5" borderId="10" xfId="1" applyFont="1" applyFill="1" applyBorder="1"/>
    <xf numFmtId="165" fontId="28" fillId="5" borderId="10" xfId="1" applyNumberFormat="1" applyFont="1" applyFill="1" applyBorder="1"/>
    <xf numFmtId="0" fontId="28" fillId="5" borderId="10" xfId="1" applyFont="1" applyFill="1" applyBorder="1" applyAlignment="1">
      <alignment horizontal="right" vertical="top"/>
    </xf>
    <xf numFmtId="0" fontId="28" fillId="5" borderId="11" xfId="1" applyFont="1" applyFill="1" applyBorder="1"/>
    <xf numFmtId="166" fontId="20" fillId="0" borderId="0" xfId="0" applyNumberFormat="1" applyFont="1" applyFill="1" applyBorder="1" applyProtection="1">
      <protection locked="0"/>
    </xf>
    <xf numFmtId="166" fontId="20" fillId="0" borderId="0" xfId="0" applyNumberFormat="1" applyFont="1" applyFill="1" applyBorder="1" applyAlignment="1" applyProtection="1">
      <protection locked="0"/>
    </xf>
    <xf numFmtId="0" fontId="14" fillId="0" borderId="6" xfId="0" applyFont="1" applyFill="1" applyBorder="1" applyAlignment="1">
      <alignment horizontal="left"/>
    </xf>
    <xf numFmtId="0" fontId="14" fillId="0" borderId="7" xfId="0" applyFont="1" applyFill="1" applyBorder="1" applyAlignment="1">
      <alignment horizontal="left"/>
    </xf>
    <xf numFmtId="0" fontId="31" fillId="0" borderId="0" xfId="0" applyFont="1" applyFill="1" applyBorder="1" applyAlignment="1"/>
    <xf numFmtId="170" fontId="20" fillId="0" borderId="0" xfId="0" applyNumberFormat="1" applyFont="1"/>
    <xf numFmtId="166" fontId="20" fillId="0" borderId="0" xfId="0" applyNumberFormat="1" applyFont="1" applyBorder="1" applyAlignment="1">
      <alignment vertical="top"/>
    </xf>
    <xf numFmtId="0" fontId="8" fillId="0" borderId="0" xfId="2" applyNumberFormat="1" applyFont="1" applyFill="1" applyBorder="1" applyAlignment="1" applyProtection="1">
      <protection locked="0"/>
    </xf>
    <xf numFmtId="0" fontId="13" fillId="0" borderId="0" xfId="0" applyFont="1" applyProtection="1">
      <protection locked="0"/>
    </xf>
    <xf numFmtId="2" fontId="8" fillId="0" borderId="0" xfId="2" applyNumberFormat="1" applyFont="1" applyFill="1" applyBorder="1" applyAlignment="1" applyProtection="1">
      <protection locked="0"/>
    </xf>
    <xf numFmtId="165" fontId="8" fillId="0" borderId="0" xfId="2" applyNumberFormat="1" applyFont="1" applyFill="1" applyBorder="1" applyAlignment="1" applyProtection="1">
      <protection locked="0"/>
    </xf>
    <xf numFmtId="0" fontId="0" fillId="0" borderId="0" xfId="2" applyFont="1" applyFill="1" applyProtection="1">
      <protection locked="0"/>
    </xf>
    <xf numFmtId="165" fontId="29" fillId="6" borderId="4" xfId="1" applyNumberFormat="1" applyFont="1" applyFill="1" applyBorder="1"/>
    <xf numFmtId="0" fontId="29" fillId="0" borderId="4" xfId="1" applyFont="1" applyBorder="1"/>
    <xf numFmtId="0" fontId="29" fillId="0" borderId="4" xfId="1" applyFont="1" applyFill="1" applyBorder="1"/>
    <xf numFmtId="165" fontId="29" fillId="0" borderId="4" xfId="1" applyNumberFormat="1" applyFont="1" applyBorder="1" applyAlignment="1">
      <alignment horizontal="right" vertical="top"/>
    </xf>
    <xf numFmtId="165" fontId="29" fillId="0" borderId="4" xfId="1" applyNumberFormat="1" applyFont="1" applyFill="1" applyBorder="1"/>
    <xf numFmtId="0" fontId="17" fillId="0" borderId="13" xfId="0" applyNumberFormat="1" applyFont="1" applyFill="1" applyBorder="1" applyAlignment="1" applyProtection="1">
      <alignment vertical="center"/>
      <protection locked="0"/>
    </xf>
    <xf numFmtId="0" fontId="0" fillId="0" borderId="14" xfId="0" applyFill="1" applyBorder="1"/>
    <xf numFmtId="0" fontId="35" fillId="0" borderId="14" xfId="1" applyFont="1" applyFill="1" applyBorder="1" applyAlignment="1"/>
    <xf numFmtId="0" fontId="28" fillId="0" borderId="1" xfId="1" applyFont="1" applyBorder="1"/>
    <xf numFmtId="0" fontId="0" fillId="0" borderId="0" xfId="0" applyFont="1" applyBorder="1" applyAlignment="1">
      <alignment horizontal="right"/>
    </xf>
    <xf numFmtId="0" fontId="8" fillId="0" borderId="0" xfId="2" applyFont="1" applyFill="1" applyBorder="1"/>
    <xf numFmtId="0" fontId="0" fillId="0" borderId="17" xfId="2" applyNumberFormat="1" applyFont="1" applyFill="1" applyBorder="1" applyAlignment="1" applyProtection="1">
      <protection locked="0"/>
    </xf>
    <xf numFmtId="0" fontId="0" fillId="0" borderId="17" xfId="2" applyFont="1" applyBorder="1" applyAlignment="1">
      <alignment horizontal="right"/>
    </xf>
    <xf numFmtId="0" fontId="0" fillId="0" borderId="17" xfId="2" applyNumberFormat="1" applyFont="1" applyFill="1" applyBorder="1" applyAlignment="1" applyProtection="1">
      <alignment horizontal="right"/>
      <protection locked="0"/>
    </xf>
    <xf numFmtId="0" fontId="0" fillId="0" borderId="17" xfId="0" applyFont="1" applyBorder="1" applyAlignment="1">
      <alignment horizontal="right"/>
    </xf>
    <xf numFmtId="0" fontId="17" fillId="0" borderId="12" xfId="0" applyFont="1" applyBorder="1" applyAlignment="1" applyProtection="1">
      <alignment vertical="top"/>
      <protection locked="0"/>
    </xf>
    <xf numFmtId="0" fontId="17" fillId="0" borderId="12" xfId="0" applyFont="1" applyBorder="1" applyAlignment="1" applyProtection="1">
      <alignment horizontal="right" vertical="top" wrapText="1"/>
      <protection locked="0"/>
    </xf>
    <xf numFmtId="165" fontId="0" fillId="0" borderId="16" xfId="2" applyNumberFormat="1" applyFont="1" applyFill="1" applyBorder="1" applyAlignment="1" applyProtection="1">
      <protection locked="0"/>
    </xf>
    <xf numFmtId="0" fontId="20" fillId="0" borderId="18" xfId="0" applyFont="1" applyBorder="1"/>
    <xf numFmtId="0" fontId="20" fillId="0" borderId="17" xfId="0" applyFont="1" applyBorder="1"/>
    <xf numFmtId="165" fontId="20" fillId="0" borderId="17" xfId="0" applyNumberFormat="1" applyFont="1" applyBorder="1"/>
    <xf numFmtId="0" fontId="20" fillId="0" borderId="17" xfId="0" applyNumberFormat="1" applyFont="1" applyBorder="1"/>
    <xf numFmtId="0" fontId="14" fillId="0" borderId="0" xfId="0" applyFont="1" applyBorder="1" applyAlignment="1">
      <alignment vertical="top" wrapText="1"/>
    </xf>
    <xf numFmtId="0" fontId="20" fillId="0" borderId="18" xfId="0" applyFont="1" applyFill="1" applyBorder="1"/>
    <xf numFmtId="0" fontId="20" fillId="0" borderId="17" xfId="0" applyFont="1" applyFill="1" applyBorder="1"/>
    <xf numFmtId="0" fontId="14" fillId="0" borderId="6" xfId="0" applyFont="1" applyBorder="1" applyAlignment="1">
      <alignment horizontal="right"/>
    </xf>
    <xf numFmtId="0" fontId="14" fillId="0" borderId="17" xfId="0" applyFont="1" applyBorder="1" applyAlignment="1">
      <alignment horizontal="right"/>
    </xf>
    <xf numFmtId="165" fontId="17" fillId="0" borderId="0" xfId="0" applyNumberFormat="1" applyFont="1" applyFill="1" applyBorder="1" applyAlignment="1">
      <alignment horizontal="right" vertical="top"/>
    </xf>
    <xf numFmtId="165" fontId="20" fillId="0" borderId="19" xfId="0" applyNumberFormat="1" applyFont="1" applyBorder="1"/>
    <xf numFmtId="0" fontId="20" fillId="0" borderId="19" xfId="0" applyFont="1" applyFill="1" applyBorder="1"/>
    <xf numFmtId="165" fontId="15" fillId="0" borderId="0" xfId="2" applyNumberFormat="1" applyFont="1" applyFill="1" applyBorder="1" applyProtection="1">
      <protection locked="0"/>
    </xf>
    <xf numFmtId="0" fontId="0" fillId="0" borderId="0" xfId="0" applyNumberFormat="1" applyFont="1" applyFill="1" applyBorder="1" applyAlignment="1" applyProtection="1">
      <alignment horizontal="left"/>
      <protection locked="0"/>
    </xf>
    <xf numFmtId="165" fontId="0" fillId="0" borderId="0" xfId="0" applyNumberFormat="1" applyFont="1" applyFill="1" applyBorder="1" applyAlignment="1" applyProtection="1">
      <alignment horizontal="right"/>
      <protection locked="0"/>
    </xf>
    <xf numFmtId="165" fontId="0" fillId="10" borderId="16" xfId="2" applyNumberFormat="1" applyFont="1" applyFill="1" applyBorder="1" applyAlignment="1" applyProtection="1">
      <protection locked="0"/>
    </xf>
    <xf numFmtId="0" fontId="13" fillId="0" borderId="0" xfId="2" applyFont="1" applyFill="1"/>
    <xf numFmtId="0" fontId="8" fillId="0" borderId="0" xfId="2" applyFont="1" applyFill="1"/>
    <xf numFmtId="0" fontId="8" fillId="0" borderId="0" xfId="2" applyFont="1" applyFill="1" applyBorder="1" applyAlignment="1" applyProtection="1">
      <alignment vertical="top" wrapText="1"/>
      <protection locked="0"/>
    </xf>
    <xf numFmtId="0" fontId="0" fillId="0" borderId="0" xfId="2" applyFont="1" applyFill="1" applyBorder="1" applyProtection="1">
      <protection locked="0"/>
    </xf>
    <xf numFmtId="0" fontId="8" fillId="0" borderId="0" xfId="2" applyFont="1" applyFill="1" applyBorder="1" applyProtection="1">
      <protection locked="0"/>
    </xf>
    <xf numFmtId="165" fontId="17" fillId="0" borderId="0" xfId="2" applyNumberFormat="1" applyFont="1" applyFill="1" applyBorder="1" applyAlignment="1" applyProtection="1"/>
    <xf numFmtId="165" fontId="17" fillId="0" borderId="0" xfId="2" quotePrefix="1" applyNumberFormat="1" applyFont="1" applyFill="1" applyBorder="1" applyAlignment="1" applyProtection="1">
      <protection locked="0"/>
    </xf>
    <xf numFmtId="165" fontId="17" fillId="0" borderId="0" xfId="2" applyNumberFormat="1" applyFont="1" applyFill="1" applyBorder="1" applyProtection="1"/>
    <xf numFmtId="165" fontId="17" fillId="0" borderId="0" xfId="2" quotePrefix="1" applyNumberFormat="1" applyFont="1" applyFill="1" applyBorder="1" applyProtection="1">
      <protection locked="0"/>
    </xf>
    <xf numFmtId="0" fontId="20" fillId="0" borderId="0" xfId="2" applyNumberFormat="1" applyFont="1" applyFill="1" applyBorder="1" applyAlignment="1" applyProtection="1">
      <protection locked="0"/>
    </xf>
    <xf numFmtId="0" fontId="20" fillId="0" borderId="0" xfId="2" applyFont="1" applyFill="1" applyBorder="1"/>
    <xf numFmtId="2" fontId="20" fillId="0" borderId="0" xfId="2" applyNumberFormat="1" applyFont="1" applyFill="1" applyBorder="1" applyAlignment="1" applyProtection="1">
      <protection locked="0"/>
    </xf>
    <xf numFmtId="165" fontId="20" fillId="0" borderId="0" xfId="2" applyNumberFormat="1" applyFont="1" applyFill="1" applyBorder="1" applyAlignment="1" applyProtection="1">
      <protection locked="0"/>
    </xf>
    <xf numFmtId="0" fontId="20" fillId="0" borderId="17" xfId="2" applyFont="1" applyFill="1" applyBorder="1"/>
    <xf numFmtId="0" fontId="13" fillId="0" borderId="0" xfId="2" applyFont="1"/>
    <xf numFmtId="0" fontId="13" fillId="0" borderId="0" xfId="0" applyFont="1"/>
    <xf numFmtId="0" fontId="0" fillId="0" borderId="0" xfId="0" applyFont="1" applyFill="1"/>
    <xf numFmtId="0" fontId="17" fillId="0" borderId="0" xfId="0" applyFont="1" applyFill="1" applyAlignment="1" applyProtection="1">
      <alignment wrapText="1"/>
      <protection locked="0"/>
    </xf>
    <xf numFmtId="165" fontId="8" fillId="0" borderId="0" xfId="2" applyNumberFormat="1" applyFont="1" applyFill="1" applyProtection="1">
      <protection locked="0"/>
    </xf>
    <xf numFmtId="165" fontId="8" fillId="0" borderId="0" xfId="2" applyNumberFormat="1" applyFont="1" applyFill="1" applyBorder="1" applyProtection="1">
      <protection locked="0"/>
    </xf>
    <xf numFmtId="0" fontId="8" fillId="0" borderId="0" xfId="0" applyFont="1" applyFill="1"/>
    <xf numFmtId="0" fontId="8" fillId="0" borderId="0" xfId="2" applyFont="1" applyFill="1" applyProtection="1">
      <protection locked="0"/>
    </xf>
    <xf numFmtId="0" fontId="8" fillId="0" borderId="0" xfId="0" applyFont="1" applyFill="1" applyAlignment="1" applyProtection="1">
      <alignment vertical="top" wrapText="1"/>
      <protection locked="0"/>
    </xf>
    <xf numFmtId="0" fontId="0" fillId="0" borderId="0" xfId="0" applyFont="1" applyFill="1" applyBorder="1"/>
    <xf numFmtId="165" fontId="0" fillId="0" borderId="0" xfId="2" applyNumberFormat="1" applyFont="1" applyFill="1" applyBorder="1" applyProtection="1">
      <protection locked="0"/>
    </xf>
    <xf numFmtId="0" fontId="0" fillId="0" borderId="0" xfId="0" applyFont="1" applyFill="1" applyProtection="1">
      <protection locked="0"/>
    </xf>
    <xf numFmtId="165" fontId="0" fillId="0" borderId="0" xfId="2" applyNumberFormat="1" applyFont="1" applyFill="1" applyBorder="1"/>
    <xf numFmtId="165" fontId="0" fillId="0" borderId="0" xfId="2" applyNumberFormat="1" applyFont="1" applyFill="1" applyProtection="1">
      <protection locked="0"/>
    </xf>
    <xf numFmtId="165" fontId="0" fillId="0" borderId="0" xfId="0" applyNumberFormat="1" applyFont="1" applyFill="1" applyProtection="1">
      <protection locked="0"/>
    </xf>
    <xf numFmtId="0" fontId="0" fillId="0" borderId="0" xfId="0" applyFont="1" applyFill="1" applyAlignment="1" applyProtection="1">
      <alignment vertical="top" wrapText="1"/>
      <protection locked="0"/>
    </xf>
    <xf numFmtId="2" fontId="0" fillId="0" borderId="0" xfId="2" applyNumberFormat="1" applyFont="1" applyFill="1" applyBorder="1" applyAlignment="1" applyProtection="1">
      <protection locked="0"/>
    </xf>
    <xf numFmtId="165" fontId="0" fillId="0" borderId="0" xfId="0" applyNumberFormat="1" applyFont="1" applyFill="1" applyBorder="1"/>
    <xf numFmtId="165" fontId="0" fillId="0" borderId="0" xfId="0" applyNumberFormat="1" applyFont="1" applyFill="1" applyBorder="1" applyProtection="1">
      <protection locked="0"/>
    </xf>
    <xf numFmtId="2" fontId="0" fillId="0" borderId="0" xfId="0" applyNumberFormat="1" applyFont="1" applyFill="1" applyBorder="1" applyAlignment="1" applyProtection="1">
      <protection locked="0"/>
    </xf>
    <xf numFmtId="0" fontId="0" fillId="0" borderId="0" xfId="0" applyFont="1" applyFill="1" applyBorder="1" applyProtection="1">
      <protection locked="0"/>
    </xf>
    <xf numFmtId="165" fontId="13" fillId="0" borderId="0" xfId="0" applyNumberFormat="1" applyFont="1" applyFill="1" applyBorder="1" applyAlignment="1" applyProtection="1"/>
    <xf numFmtId="0" fontId="13" fillId="0" borderId="0" xfId="2" applyFont="1" applyBorder="1"/>
    <xf numFmtId="0" fontId="13" fillId="0" borderId="0" xfId="2" applyFont="1" applyProtection="1">
      <protection locked="0"/>
    </xf>
    <xf numFmtId="0" fontId="13" fillId="0" borderId="0" xfId="2" applyFont="1" applyBorder="1" applyProtection="1">
      <protection locked="0"/>
    </xf>
    <xf numFmtId="0" fontId="13" fillId="0" borderId="0" xfId="2"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NumberFormat="1" applyFont="1" applyFill="1" applyBorder="1" applyAlignment="1">
      <alignment horizontal="right" vertical="top"/>
    </xf>
    <xf numFmtId="0" fontId="0" fillId="0" borderId="0" xfId="0" applyFont="1" applyFill="1" applyBorder="1" applyAlignment="1">
      <alignment horizontal="right"/>
    </xf>
    <xf numFmtId="0" fontId="8" fillId="0" borderId="0" xfId="0" applyFont="1" applyFill="1" applyBorder="1" applyAlignment="1" applyProtection="1">
      <alignment vertical="top" wrapText="1"/>
      <protection locked="0"/>
    </xf>
    <xf numFmtId="165" fontId="0" fillId="0" borderId="17" xfId="0" applyNumberFormat="1" applyFont="1" applyFill="1" applyBorder="1" applyProtection="1">
      <protection locked="0"/>
    </xf>
    <xf numFmtId="165" fontId="0" fillId="0" borderId="17" xfId="2" applyNumberFormat="1" applyFont="1" applyFill="1" applyBorder="1" applyProtection="1">
      <protection locked="0"/>
    </xf>
    <xf numFmtId="165" fontId="0" fillId="0" borderId="17" xfId="2" applyNumberFormat="1" applyFont="1" applyFill="1" applyBorder="1" applyAlignment="1" applyProtection="1">
      <protection locked="0"/>
    </xf>
    <xf numFmtId="0" fontId="0" fillId="0" borderId="17" xfId="0" applyNumberFormat="1" applyFont="1" applyFill="1" applyBorder="1" applyAlignment="1" applyProtection="1">
      <protection locked="0"/>
    </xf>
    <xf numFmtId="165" fontId="0" fillId="0" borderId="17" xfId="0" applyNumberFormat="1" applyFont="1" applyFill="1" applyBorder="1" applyAlignment="1" applyProtection="1">
      <protection locked="0"/>
    </xf>
    <xf numFmtId="0" fontId="0" fillId="0" borderId="17" xfId="0" applyFont="1" applyFill="1" applyBorder="1" applyProtection="1">
      <protection locked="0"/>
    </xf>
    <xf numFmtId="0" fontId="0" fillId="0" borderId="17" xfId="0" applyNumberFormat="1" applyFont="1" applyFill="1" applyBorder="1" applyAlignment="1" applyProtection="1">
      <alignment horizontal="right"/>
      <protection locked="0"/>
    </xf>
    <xf numFmtId="0" fontId="0" fillId="0" borderId="16" xfId="2" applyNumberFormat="1" applyFont="1" applyFill="1" applyBorder="1" applyAlignment="1" applyProtection="1">
      <protection locked="0"/>
    </xf>
    <xf numFmtId="0" fontId="0" fillId="0" borderId="17" xfId="2" applyFont="1" applyFill="1" applyBorder="1"/>
    <xf numFmtId="0" fontId="0" fillId="0" borderId="17" xfId="0" applyFont="1" applyFill="1" applyBorder="1"/>
    <xf numFmtId="165" fontId="0" fillId="0" borderId="16" xfId="2" applyNumberFormat="1" applyFont="1" applyFill="1" applyBorder="1" applyProtection="1">
      <protection locked="0"/>
    </xf>
    <xf numFmtId="0" fontId="0" fillId="0" borderId="16" xfId="0" applyFont="1" applyFill="1" applyBorder="1"/>
    <xf numFmtId="0" fontId="13" fillId="0" borderId="0" xfId="0" applyFont="1" applyBorder="1" applyProtection="1">
      <protection locked="0"/>
    </xf>
    <xf numFmtId="0" fontId="13" fillId="0" borderId="0" xfId="0" applyFont="1" applyBorder="1"/>
    <xf numFmtId="0" fontId="13" fillId="0" borderId="0" xfId="0" applyFont="1" applyFill="1" applyBorder="1" applyAlignment="1" applyProtection="1">
      <alignment vertical="top" wrapText="1"/>
      <protection locked="0"/>
    </xf>
    <xf numFmtId="0" fontId="40" fillId="0" borderId="0" xfId="2" applyFont="1" applyProtection="1">
      <protection locked="0"/>
    </xf>
    <xf numFmtId="0" fontId="0" fillId="0" borderId="17" xfId="2" applyFont="1" applyFill="1" applyBorder="1" applyAlignment="1">
      <alignment horizontal="right"/>
    </xf>
    <xf numFmtId="165" fontId="0" fillId="0" borderId="16" xfId="0" applyNumberFormat="1" applyFont="1" applyFill="1" applyBorder="1" applyAlignment="1" applyProtection="1">
      <protection locked="0"/>
    </xf>
    <xf numFmtId="165" fontId="0" fillId="0" borderId="16" xfId="0" applyNumberFormat="1" applyFont="1" applyFill="1" applyBorder="1" applyProtection="1">
      <protection locked="0"/>
    </xf>
    <xf numFmtId="0" fontId="0" fillId="0" borderId="17" xfId="0" applyFont="1" applyFill="1" applyBorder="1" applyAlignment="1">
      <alignment horizontal="right"/>
    </xf>
    <xf numFmtId="0" fontId="20" fillId="0" borderId="0" xfId="2" applyAlignment="1"/>
    <xf numFmtId="0" fontId="0" fillId="0" borderId="0" xfId="0" applyFont="1" applyFill="1" applyBorder="1" applyAlignment="1">
      <alignment horizontal="left"/>
    </xf>
    <xf numFmtId="0" fontId="17" fillId="4" borderId="16" xfId="0" applyFont="1" applyFill="1" applyBorder="1" applyAlignment="1" applyProtection="1">
      <alignment wrapText="1"/>
      <protection locked="0"/>
    </xf>
    <xf numFmtId="0" fontId="17" fillId="10" borderId="16" xfId="0" applyFont="1" applyFill="1" applyBorder="1" applyAlignment="1" applyProtection="1">
      <alignment wrapText="1"/>
      <protection locked="0"/>
    </xf>
    <xf numFmtId="0" fontId="17" fillId="8" borderId="16" xfId="0" applyFont="1" applyFill="1" applyBorder="1" applyAlignment="1" applyProtection="1">
      <alignment wrapText="1"/>
      <protection locked="0"/>
    </xf>
    <xf numFmtId="0" fontId="0" fillId="0" borderId="16" xfId="0" applyFont="1" applyFill="1" applyBorder="1" applyProtection="1">
      <protection locked="0"/>
    </xf>
    <xf numFmtId="0" fontId="0" fillId="0" borderId="0" xfId="0" applyFont="1" applyFill="1" applyBorder="1" applyAlignment="1" applyProtection="1">
      <alignment horizontal="right"/>
      <protection locked="0"/>
    </xf>
    <xf numFmtId="165" fontId="0" fillId="4" borderId="16" xfId="2" applyNumberFormat="1" applyFont="1" applyFill="1" applyBorder="1" applyProtection="1">
      <protection locked="0"/>
    </xf>
    <xf numFmtId="165" fontId="0" fillId="4" borderId="0" xfId="2" applyNumberFormat="1" applyFont="1" applyFill="1" applyBorder="1" applyAlignment="1" applyProtection="1">
      <protection locked="0"/>
    </xf>
    <xf numFmtId="165" fontId="0" fillId="4" borderId="17" xfId="2" applyNumberFormat="1" applyFont="1" applyFill="1" applyBorder="1" applyAlignment="1" applyProtection="1">
      <protection locked="0"/>
    </xf>
    <xf numFmtId="0" fontId="0" fillId="4" borderId="16" xfId="2" applyFont="1" applyFill="1" applyBorder="1"/>
    <xf numFmtId="165" fontId="0" fillId="4" borderId="16" xfId="2" applyNumberFormat="1" applyFont="1" applyFill="1" applyBorder="1" applyAlignment="1" applyProtection="1">
      <protection locked="0"/>
    </xf>
    <xf numFmtId="165" fontId="0" fillId="4" borderId="0" xfId="1" applyNumberFormat="1" applyFont="1" applyFill="1" applyBorder="1" applyAlignment="1" applyProtection="1">
      <protection locked="0"/>
    </xf>
    <xf numFmtId="165" fontId="0" fillId="4" borderId="0" xfId="0" applyNumberFormat="1" applyFont="1" applyFill="1" applyBorder="1" applyProtection="1">
      <protection locked="0"/>
    </xf>
    <xf numFmtId="165" fontId="0" fillId="4" borderId="17" xfId="0" applyNumberFormat="1" applyFont="1" applyFill="1" applyBorder="1" applyProtection="1">
      <protection locked="0"/>
    </xf>
    <xf numFmtId="165" fontId="0" fillId="10" borderId="16" xfId="2" applyNumberFormat="1" applyFont="1" applyFill="1" applyBorder="1" applyProtection="1">
      <protection locked="0"/>
    </xf>
    <xf numFmtId="165" fontId="0" fillId="10" borderId="0" xfId="2" applyNumberFormat="1" applyFont="1" applyFill="1" applyBorder="1" applyAlignment="1" applyProtection="1">
      <protection locked="0"/>
    </xf>
    <xf numFmtId="165" fontId="0" fillId="10" borderId="17" xfId="2" applyNumberFormat="1" applyFont="1" applyFill="1" applyBorder="1" applyAlignment="1" applyProtection="1">
      <protection locked="0"/>
    </xf>
    <xf numFmtId="0" fontId="0" fillId="10" borderId="16" xfId="2" applyFont="1" applyFill="1" applyBorder="1"/>
    <xf numFmtId="165" fontId="0" fillId="10" borderId="0" xfId="0" applyNumberFormat="1" applyFont="1" applyFill="1" applyBorder="1" applyProtection="1">
      <protection locked="0"/>
    </xf>
    <xf numFmtId="165" fontId="0" fillId="10" borderId="17" xfId="0" applyNumberFormat="1" applyFont="1" applyFill="1" applyBorder="1" applyProtection="1">
      <protection locked="0"/>
    </xf>
    <xf numFmtId="0" fontId="0" fillId="8" borderId="16" xfId="2" applyNumberFormat="1" applyFont="1" applyFill="1" applyBorder="1" applyAlignment="1" applyProtection="1">
      <protection locked="0"/>
    </xf>
    <xf numFmtId="165" fontId="0" fillId="8" borderId="0" xfId="2" applyNumberFormat="1" applyFont="1" applyFill="1" applyBorder="1" applyAlignment="1" applyProtection="1">
      <protection locked="0"/>
    </xf>
    <xf numFmtId="165" fontId="0" fillId="8" borderId="17" xfId="2" applyNumberFormat="1" applyFont="1" applyFill="1" applyBorder="1" applyAlignment="1" applyProtection="1">
      <protection locked="0"/>
    </xf>
    <xf numFmtId="0" fontId="0" fillId="8" borderId="16" xfId="2" applyFont="1" applyFill="1" applyBorder="1"/>
    <xf numFmtId="165" fontId="0" fillId="8" borderId="16" xfId="2" applyNumberFormat="1" applyFont="1" applyFill="1" applyBorder="1" applyAlignment="1" applyProtection="1">
      <protection locked="0"/>
    </xf>
    <xf numFmtId="165" fontId="0" fillId="8" borderId="0" xfId="0" applyNumberFormat="1" applyFont="1" applyFill="1" applyBorder="1" applyProtection="1">
      <protection locked="0"/>
    </xf>
    <xf numFmtId="165" fontId="0" fillId="8" borderId="17" xfId="0" applyNumberFormat="1" applyFont="1" applyFill="1" applyBorder="1" applyProtection="1">
      <protection locked="0"/>
    </xf>
    <xf numFmtId="165" fontId="0" fillId="4" borderId="0" xfId="0" applyNumberFormat="1" applyFont="1" applyFill="1" applyBorder="1" applyAlignment="1" applyProtection="1">
      <protection locked="0"/>
    </xf>
    <xf numFmtId="165" fontId="0" fillId="4" borderId="17" xfId="0" applyNumberFormat="1" applyFont="1" applyFill="1" applyBorder="1" applyAlignment="1" applyProtection="1">
      <protection locked="0"/>
    </xf>
    <xf numFmtId="165" fontId="0" fillId="4" borderId="16" xfId="0" applyNumberFormat="1" applyFont="1" applyFill="1" applyBorder="1" applyAlignment="1" applyProtection="1">
      <protection locked="0"/>
    </xf>
    <xf numFmtId="165" fontId="0" fillId="10" borderId="0" xfId="0" applyNumberFormat="1" applyFont="1" applyFill="1" applyBorder="1" applyAlignment="1" applyProtection="1">
      <protection locked="0"/>
    </xf>
    <xf numFmtId="165" fontId="0" fillId="10" borderId="17" xfId="0" applyNumberFormat="1" applyFont="1" applyFill="1" applyBorder="1" applyAlignment="1" applyProtection="1">
      <protection locked="0"/>
    </xf>
    <xf numFmtId="165" fontId="0" fillId="10" borderId="16" xfId="0" applyNumberFormat="1" applyFont="1" applyFill="1" applyBorder="1" applyAlignment="1" applyProtection="1">
      <protection locked="0"/>
    </xf>
    <xf numFmtId="165" fontId="0" fillId="8" borderId="0" xfId="0" applyNumberFormat="1" applyFont="1" applyFill="1" applyBorder="1" applyAlignment="1" applyProtection="1">
      <protection locked="0"/>
    </xf>
    <xf numFmtId="165" fontId="0" fillId="8" borderId="16" xfId="0" applyNumberFormat="1" applyFont="1" applyFill="1" applyBorder="1" applyAlignment="1" applyProtection="1">
      <protection locked="0"/>
    </xf>
    <xf numFmtId="165" fontId="0" fillId="8" borderId="17" xfId="0" applyNumberFormat="1" applyFont="1" applyFill="1" applyBorder="1" applyAlignment="1" applyProtection="1">
      <protection locked="0"/>
    </xf>
    <xf numFmtId="0" fontId="0" fillId="0" borderId="17" xfId="0" applyFont="1" applyFill="1" applyBorder="1" applyAlignment="1" applyProtection="1">
      <alignment vertical="top" wrapText="1"/>
      <protection locked="0"/>
    </xf>
    <xf numFmtId="165" fontId="0" fillId="0" borderId="17" xfId="2" quotePrefix="1" applyNumberFormat="1" applyFont="1" applyFill="1" applyBorder="1" applyAlignment="1" applyProtection="1">
      <protection locked="0"/>
    </xf>
    <xf numFmtId="165" fontId="0" fillId="4" borderId="17" xfId="1" applyNumberFormat="1" applyFont="1" applyFill="1" applyBorder="1" applyAlignment="1" applyProtection="1">
      <protection locked="0"/>
    </xf>
    <xf numFmtId="0" fontId="17" fillId="0" borderId="17" xfId="0" applyFont="1" applyBorder="1" applyAlignment="1">
      <alignment horizontal="right" wrapText="1"/>
    </xf>
    <xf numFmtId="0" fontId="41" fillId="0" borderId="0" xfId="1" applyFont="1" applyFill="1" applyBorder="1" applyAlignment="1">
      <alignment horizontal="left"/>
    </xf>
    <xf numFmtId="165" fontId="17" fillId="0" borderId="6" xfId="0" applyNumberFormat="1" applyFont="1" applyBorder="1"/>
    <xf numFmtId="166" fontId="27" fillId="0" borderId="6" xfId="0" applyNumberFormat="1" applyFont="1" applyBorder="1"/>
    <xf numFmtId="166" fontId="27" fillId="0" borderId="7" xfId="0" applyNumberFormat="1" applyFont="1" applyBorder="1"/>
    <xf numFmtId="165" fontId="27" fillId="0" borderId="0" xfId="0" applyNumberFormat="1" applyFont="1" applyBorder="1" applyAlignment="1">
      <alignment vertical="top"/>
    </xf>
    <xf numFmtId="165" fontId="26" fillId="0" borderId="6" xfId="0" applyNumberFormat="1" applyFont="1" applyBorder="1" applyAlignment="1">
      <alignment vertical="top"/>
    </xf>
    <xf numFmtId="165" fontId="17" fillId="0" borderId="6" xfId="0" applyNumberFormat="1" applyFont="1" applyBorder="1" applyAlignment="1">
      <alignment vertical="top"/>
    </xf>
    <xf numFmtId="0" fontId="20" fillId="0" borderId="0" xfId="2" applyFont="1" applyBorder="1"/>
    <xf numFmtId="0" fontId="17" fillId="0" borderId="0" xfId="2" applyFont="1" applyFill="1"/>
    <xf numFmtId="0" fontId="43" fillId="0" borderId="15" xfId="1" applyFont="1" applyFill="1" applyBorder="1" applyAlignment="1">
      <alignment horizontal="right"/>
    </xf>
    <xf numFmtId="165" fontId="20" fillId="0" borderId="0" xfId="2" applyNumberFormat="1" applyFont="1" applyFill="1" applyBorder="1" applyProtection="1">
      <protection locked="0"/>
    </xf>
    <xf numFmtId="0" fontId="20" fillId="0" borderId="0" xfId="2" applyFont="1"/>
    <xf numFmtId="0" fontId="20" fillId="0" borderId="0" xfId="2" applyFont="1" applyBorder="1" applyProtection="1">
      <protection locked="0"/>
    </xf>
    <xf numFmtId="0" fontId="20" fillId="0" borderId="0" xfId="2" applyFont="1" applyFill="1" applyBorder="1" applyAlignment="1" applyProtection="1">
      <alignment vertical="top" wrapText="1"/>
      <protection locked="0"/>
    </xf>
    <xf numFmtId="0" fontId="20" fillId="0" borderId="0" xfId="2" applyFont="1" applyFill="1" applyBorder="1" applyProtection="1">
      <protection locked="0"/>
    </xf>
    <xf numFmtId="0" fontId="44" fillId="0" borderId="0" xfId="0" applyFont="1"/>
    <xf numFmtId="0" fontId="44" fillId="0" borderId="0" xfId="0" applyFont="1" applyFill="1"/>
    <xf numFmtId="0" fontId="30" fillId="0" borderId="0" xfId="0" applyFont="1" applyProtection="1">
      <protection locked="0"/>
    </xf>
    <xf numFmtId="0" fontId="31" fillId="0" borderId="0" xfId="0" applyFont="1" applyAlignment="1" applyProtection="1">
      <protection locked="0"/>
    </xf>
    <xf numFmtId="0" fontId="30" fillId="0" borderId="0" xfId="2" applyFont="1" applyBorder="1"/>
    <xf numFmtId="0" fontId="9" fillId="0" borderId="0" xfId="0" applyFont="1" applyFill="1"/>
    <xf numFmtId="0" fontId="24" fillId="0" borderId="0" xfId="0" applyFont="1" applyFill="1"/>
    <xf numFmtId="0" fontId="31" fillId="0" borderId="0" xfId="0" applyFont="1" applyFill="1" applyAlignment="1" applyProtection="1">
      <protection locked="0"/>
    </xf>
    <xf numFmtId="0" fontId="45" fillId="0" borderId="8" xfId="2264" applyFont="1" applyFill="1" applyBorder="1" applyAlignment="1" applyProtection="1">
      <alignment horizontal="center" vertical="center"/>
      <protection locked="0"/>
    </xf>
    <xf numFmtId="0" fontId="30" fillId="0" borderId="0" xfId="2" applyFont="1" applyFill="1" applyBorder="1"/>
    <xf numFmtId="0" fontId="14" fillId="0" borderId="0" xfId="0" applyFont="1" applyFill="1" applyAlignment="1">
      <alignment horizontal="right"/>
    </xf>
    <xf numFmtId="0" fontId="45" fillId="0" borderId="0" xfId="2264" applyFont="1" applyFill="1" applyBorder="1" applyAlignment="1" applyProtection="1">
      <alignment horizontal="center" vertical="center"/>
      <protection locked="0"/>
    </xf>
    <xf numFmtId="0" fontId="13" fillId="0" borderId="0" xfId="2267" applyFont="1" applyFill="1"/>
    <xf numFmtId="0" fontId="8" fillId="0" borderId="0" xfId="2267"/>
    <xf numFmtId="0" fontId="8" fillId="0" borderId="0" xfId="2267" applyFont="1"/>
    <xf numFmtId="0" fontId="8" fillId="0" borderId="0" xfId="2267" applyFill="1"/>
    <xf numFmtId="0" fontId="8" fillId="0" borderId="0" xfId="2267" applyBorder="1" applyAlignment="1">
      <alignment horizontal="right"/>
    </xf>
    <xf numFmtId="0" fontId="8" fillId="0" borderId="0" xfId="2267" applyAlignment="1">
      <alignment horizontal="right"/>
    </xf>
    <xf numFmtId="165" fontId="8" fillId="0" borderId="17" xfId="2267" applyNumberFormat="1" applyFill="1" applyBorder="1"/>
    <xf numFmtId="165" fontId="8" fillId="0" borderId="17" xfId="2267" applyNumberFormat="1" applyFont="1" applyFill="1" applyBorder="1"/>
    <xf numFmtId="0" fontId="8" fillId="0" borderId="0" xfId="2267" applyFont="1" applyFill="1"/>
    <xf numFmtId="0" fontId="13" fillId="0" borderId="0" xfId="2267" applyFont="1" applyBorder="1"/>
    <xf numFmtId="165" fontId="13" fillId="0" borderId="0" xfId="2267" applyNumberFormat="1" applyFont="1" applyFill="1" applyBorder="1"/>
    <xf numFmtId="0" fontId="13" fillId="0" borderId="0" xfId="2267" applyFont="1" applyFill="1" applyBorder="1"/>
    <xf numFmtId="0" fontId="17" fillId="0" borderId="24" xfId="0" applyFont="1" applyBorder="1" applyAlignment="1">
      <alignment horizontal="right" wrapText="1"/>
    </xf>
    <xf numFmtId="0" fontId="17" fillId="0" borderId="23" xfId="0" applyFont="1" applyBorder="1" applyAlignment="1">
      <alignment horizontal="right" wrapText="1"/>
    </xf>
    <xf numFmtId="165" fontId="8" fillId="0" borderId="0" xfId="2267" applyNumberFormat="1" applyFill="1" applyBorder="1"/>
    <xf numFmtId="0" fontId="8" fillId="0" borderId="0" xfId="2267" applyFill="1" applyBorder="1"/>
    <xf numFmtId="0" fontId="8" fillId="0" borderId="0" xfId="2267" applyFont="1" applyFill="1" applyBorder="1"/>
    <xf numFmtId="0" fontId="20" fillId="0" borderId="16" xfId="2" applyFont="1" applyBorder="1"/>
    <xf numFmtId="165" fontId="20" fillId="0" borderId="17" xfId="2" applyNumberFormat="1" applyFont="1" applyFill="1" applyBorder="1" applyAlignment="1" applyProtection="1">
      <protection locked="0"/>
    </xf>
    <xf numFmtId="0" fontId="20" fillId="0" borderId="16" xfId="2" applyNumberFormat="1" applyFont="1" applyFill="1" applyBorder="1" applyAlignment="1" applyProtection="1">
      <protection locked="0"/>
    </xf>
    <xf numFmtId="165" fontId="17" fillId="0" borderId="0" xfId="2" applyNumberFormat="1" applyFont="1" applyFill="1" applyBorder="1" applyAlignment="1" applyProtection="1">
      <protection locked="0"/>
    </xf>
    <xf numFmtId="0" fontId="31" fillId="0" borderId="0" xfId="2" applyFont="1" applyFill="1" applyBorder="1"/>
    <xf numFmtId="0" fontId="20" fillId="0" borderId="16" xfId="2" applyFont="1" applyFill="1" applyBorder="1" applyProtection="1">
      <protection locked="0"/>
    </xf>
    <xf numFmtId="0" fontId="17" fillId="0" borderId="0" xfId="2" applyFont="1" applyBorder="1"/>
    <xf numFmtId="165" fontId="17" fillId="0" borderId="0" xfId="0" quotePrefix="1" applyNumberFormat="1" applyFont="1" applyFill="1" applyBorder="1" applyProtection="1">
      <protection locked="0"/>
    </xf>
    <xf numFmtId="165" fontId="17" fillId="0" borderId="0" xfId="0" applyNumberFormat="1" applyFont="1" applyFill="1" applyBorder="1" applyProtection="1"/>
    <xf numFmtId="165" fontId="17" fillId="0" borderId="0" xfId="0" applyNumberFormat="1" applyFont="1" applyFill="1" applyBorder="1" applyAlignment="1" applyProtection="1">
      <protection locked="0"/>
    </xf>
    <xf numFmtId="165" fontId="8" fillId="7" borderId="0" xfId="2267" applyNumberFormat="1" applyFill="1" applyBorder="1"/>
    <xf numFmtId="0" fontId="20" fillId="0" borderId="27" xfId="0" applyFont="1" applyBorder="1"/>
    <xf numFmtId="0" fontId="20" fillId="0" borderId="28" xfId="0" applyFont="1" applyBorder="1"/>
    <xf numFmtId="0" fontId="17" fillId="0" borderId="19" xfId="0" applyFont="1" applyBorder="1" applyAlignment="1">
      <alignment horizontal="right" wrapText="1"/>
    </xf>
    <xf numFmtId="0" fontId="48" fillId="0" borderId="0" xfId="2264" applyFont="1" applyFill="1"/>
    <xf numFmtId="0" fontId="48" fillId="0" borderId="0" xfId="2264" applyFont="1" applyFill="1" applyAlignment="1">
      <alignment horizontal="left"/>
    </xf>
    <xf numFmtId="0" fontId="48" fillId="0" borderId="0" xfId="2264" applyFont="1"/>
    <xf numFmtId="0" fontId="20" fillId="0" borderId="0" xfId="0" applyFont="1" applyBorder="1" applyAlignment="1">
      <alignment horizontal="left" wrapText="1"/>
    </xf>
    <xf numFmtId="0" fontId="17" fillId="0" borderId="0" xfId="0" applyFont="1" applyFill="1" applyBorder="1" applyAlignment="1">
      <alignment horizontal="right" wrapText="1"/>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0" xfId="0" applyFont="1" applyFill="1" applyBorder="1" applyAlignment="1">
      <alignment horizontal="left"/>
    </xf>
    <xf numFmtId="0" fontId="14" fillId="0" borderId="0" xfId="0" applyFont="1" applyFill="1" applyBorder="1" applyAlignment="1">
      <alignment horizontal="left" vertical="top"/>
    </xf>
    <xf numFmtId="0" fontId="14" fillId="0" borderId="4" xfId="0" applyFont="1" applyFill="1" applyBorder="1" applyAlignment="1">
      <alignment horizontal="left" vertical="top"/>
    </xf>
    <xf numFmtId="165" fontId="8" fillId="0" borderId="0" xfId="2267" applyNumberFormat="1" applyFont="1" applyFill="1" applyBorder="1"/>
    <xf numFmtId="165" fontId="13" fillId="7" borderId="0" xfId="2267" applyNumberFormat="1" applyFont="1" applyFill="1" applyBorder="1"/>
    <xf numFmtId="165" fontId="14" fillId="0" borderId="0" xfId="1" applyNumberFormat="1" applyFont="1" applyFill="1" applyBorder="1" applyAlignment="1">
      <alignment horizontal="right"/>
    </xf>
    <xf numFmtId="0" fontId="41" fillId="0" borderId="0" xfId="1" applyFont="1" applyBorder="1"/>
    <xf numFmtId="165" fontId="17" fillId="0" borderId="17" xfId="0" applyNumberFormat="1" applyFont="1" applyFill="1" applyBorder="1"/>
    <xf numFmtId="165" fontId="17" fillId="0" borderId="0" xfId="0" applyNumberFormat="1" applyFont="1" applyBorder="1" applyAlignment="1">
      <alignment vertical="top"/>
    </xf>
    <xf numFmtId="165" fontId="0" fillId="0" borderId="0" xfId="0" applyNumberFormat="1" applyBorder="1"/>
    <xf numFmtId="165" fontId="17" fillId="0" borderId="0" xfId="0" applyNumberFormat="1" applyFont="1" applyFill="1" applyBorder="1" applyProtection="1">
      <protection locked="0"/>
    </xf>
    <xf numFmtId="165" fontId="17" fillId="0" borderId="0" xfId="0" applyNumberFormat="1" applyFont="1" applyBorder="1" applyProtection="1">
      <protection locked="0"/>
    </xf>
    <xf numFmtId="0" fontId="17" fillId="0" borderId="13" xfId="0" applyFont="1" applyFill="1" applyBorder="1"/>
    <xf numFmtId="0" fontId="20" fillId="0" borderId="14" xfId="0" applyFont="1" applyFill="1" applyBorder="1"/>
    <xf numFmtId="0" fontId="20" fillId="0" borderId="15" xfId="0" applyFont="1" applyFill="1" applyBorder="1"/>
    <xf numFmtId="0" fontId="17" fillId="0" borderId="17" xfId="0" applyFont="1" applyFill="1" applyBorder="1" applyAlignment="1">
      <alignment horizontal="right" wrapText="1"/>
    </xf>
    <xf numFmtId="0" fontId="26" fillId="0" borderId="18" xfId="0" applyFont="1" applyBorder="1" applyAlignment="1">
      <alignment horizontal="right"/>
    </xf>
    <xf numFmtId="0" fontId="26" fillId="0" borderId="17" xfId="0" applyFont="1" applyBorder="1" applyAlignment="1">
      <alignment horizontal="right" wrapText="1"/>
    </xf>
    <xf numFmtId="166" fontId="26" fillId="0" borderId="17" xfId="0" applyNumberFormat="1" applyFont="1" applyBorder="1" applyAlignment="1">
      <alignment horizontal="right" wrapText="1"/>
    </xf>
    <xf numFmtId="0" fontId="29" fillId="0" borderId="17" xfId="1" applyFont="1" applyBorder="1" applyAlignment="1">
      <alignment horizontal="right" wrapText="1"/>
    </xf>
    <xf numFmtId="0" fontId="29" fillId="0" borderId="17" xfId="1" applyFont="1" applyFill="1" applyBorder="1" applyAlignment="1">
      <alignment horizontal="right" wrapText="1"/>
    </xf>
    <xf numFmtId="165" fontId="29" fillId="0" borderId="17" xfId="1" applyNumberFormat="1" applyFont="1" applyBorder="1" applyAlignment="1">
      <alignment horizontal="right" wrapText="1"/>
    </xf>
    <xf numFmtId="165" fontId="29" fillId="0" borderId="17" xfId="1" applyNumberFormat="1" applyFont="1" applyBorder="1" applyAlignment="1">
      <alignment horizontal="right"/>
    </xf>
    <xf numFmtId="0" fontId="29" fillId="0" borderId="17" xfId="1" applyFont="1" applyBorder="1" applyAlignment="1">
      <alignment horizontal="right"/>
    </xf>
    <xf numFmtId="0" fontId="29" fillId="0" borderId="19" xfId="1" applyFont="1" applyFill="1" applyBorder="1" applyAlignment="1">
      <alignment horizontal="right"/>
    </xf>
    <xf numFmtId="0" fontId="20" fillId="0" borderId="19" xfId="0" applyFont="1" applyBorder="1"/>
    <xf numFmtId="0" fontId="17" fillId="0" borderId="13" xfId="0" applyFont="1" applyFill="1" applyBorder="1" applyAlignment="1">
      <alignment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30" fillId="0" borderId="14" xfId="0" applyFont="1" applyFill="1" applyBorder="1" applyAlignment="1">
      <alignment vertical="center"/>
    </xf>
    <xf numFmtId="0" fontId="20" fillId="0" borderId="27" xfId="0" applyNumberFormat="1" applyFont="1" applyFill="1" applyBorder="1" applyAlignment="1" applyProtection="1">
      <protection locked="0"/>
    </xf>
    <xf numFmtId="0" fontId="17" fillId="0" borderId="28" xfId="0" applyNumberFormat="1" applyFont="1" applyFill="1" applyBorder="1" applyAlignment="1" applyProtection="1">
      <protection locked="0"/>
    </xf>
    <xf numFmtId="0" fontId="17"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4" fillId="0" borderId="15" xfId="0" applyFont="1" applyFill="1" applyBorder="1" applyAlignment="1">
      <alignment horizontal="right" vertical="center"/>
    </xf>
    <xf numFmtId="0" fontId="17" fillId="0" borderId="13" xfId="0" applyFont="1" applyFill="1" applyBorder="1" applyAlignment="1">
      <alignment horizontal="left"/>
    </xf>
    <xf numFmtId="0" fontId="17" fillId="0" borderId="14" xfId="0" applyFont="1" applyFill="1" applyBorder="1" applyAlignment="1">
      <alignment horizontal="left"/>
    </xf>
    <xf numFmtId="0" fontId="17" fillId="0" borderId="15" xfId="0" applyFont="1" applyFill="1" applyBorder="1" applyAlignment="1">
      <alignment horizontal="left"/>
    </xf>
    <xf numFmtId="0" fontId="17" fillId="0" borderId="18" xfId="0" applyFont="1" applyFill="1" applyBorder="1" applyAlignment="1">
      <alignment wrapText="1"/>
    </xf>
    <xf numFmtId="14" fontId="17" fillId="0" borderId="17" xfId="0" applyNumberFormat="1" applyFont="1" applyFill="1" applyBorder="1" applyAlignment="1">
      <alignment horizontal="right" wrapText="1"/>
    </xf>
    <xf numFmtId="0" fontId="17" fillId="0" borderId="17" xfId="0" applyFont="1" applyFill="1" applyBorder="1" applyAlignment="1">
      <alignment horizontal="left" wrapText="1"/>
    </xf>
    <xf numFmtId="0" fontId="17" fillId="0" borderId="19" xfId="0" applyFont="1" applyFill="1" applyBorder="1" applyAlignment="1">
      <alignment horizontal="left" wrapText="1"/>
    </xf>
    <xf numFmtId="1" fontId="17" fillId="0" borderId="17" xfId="0" applyNumberFormat="1" applyFont="1" applyFill="1" applyBorder="1" applyAlignment="1">
      <alignment horizontal="right" wrapText="1"/>
    </xf>
    <xf numFmtId="0" fontId="17" fillId="0" borderId="23" xfId="0" applyFont="1" applyFill="1" applyBorder="1" applyAlignment="1">
      <alignment horizontal="right" wrapText="1"/>
    </xf>
    <xf numFmtId="1" fontId="17" fillId="0" borderId="23" xfId="0" applyNumberFormat="1" applyFont="1" applyFill="1" applyBorder="1" applyAlignment="1">
      <alignment horizontal="right" wrapText="1"/>
    </xf>
    <xf numFmtId="0" fontId="17" fillId="0" borderId="23" xfId="0" applyFont="1" applyFill="1" applyBorder="1" applyAlignment="1">
      <alignment horizontal="left" wrapText="1"/>
    </xf>
    <xf numFmtId="0" fontId="20" fillId="0" borderId="24" xfId="0" applyFont="1" applyFill="1" applyBorder="1"/>
    <xf numFmtId="165" fontId="17" fillId="0" borderId="17" xfId="0" applyNumberFormat="1" applyFont="1" applyFill="1" applyBorder="1" applyAlignment="1">
      <alignment horizontal="right" wrapText="1"/>
    </xf>
    <xf numFmtId="44" fontId="20" fillId="0" borderId="0" xfId="0" applyNumberFormat="1" applyFont="1" applyFill="1" applyBorder="1" applyAlignment="1">
      <alignment horizontal="left" vertical="top"/>
    </xf>
    <xf numFmtId="44" fontId="17" fillId="0" borderId="17" xfId="0" applyNumberFormat="1" applyFont="1" applyFill="1" applyBorder="1" applyAlignment="1">
      <alignment horizontal="right" wrapText="1"/>
    </xf>
    <xf numFmtId="0" fontId="17" fillId="0" borderId="17" xfId="0" applyFont="1" applyFill="1" applyBorder="1" applyAlignment="1">
      <alignment wrapText="1"/>
    </xf>
    <xf numFmtId="44" fontId="20" fillId="0" borderId="0" xfId="0" applyNumberFormat="1" applyFont="1" applyFill="1" applyBorder="1" applyAlignment="1">
      <alignment vertical="top"/>
    </xf>
    <xf numFmtId="165" fontId="20" fillId="0" borderId="0" xfId="0" applyNumberFormat="1" applyFont="1" applyFill="1" applyBorder="1" applyAlignment="1">
      <alignment horizontal="left"/>
    </xf>
    <xf numFmtId="0" fontId="17" fillId="0" borderId="15" xfId="0" applyFont="1" applyFill="1" applyBorder="1" applyAlignment="1">
      <alignment horizontal="left" vertical="center"/>
    </xf>
    <xf numFmtId="167" fontId="17" fillId="0" borderId="17" xfId="0" applyNumberFormat="1" applyFont="1" applyFill="1" applyBorder="1" applyAlignment="1">
      <alignment horizontal="right" wrapText="1"/>
    </xf>
    <xf numFmtId="0" fontId="17" fillId="0" borderId="17" xfId="0" applyFont="1" applyFill="1" applyBorder="1" applyAlignment="1">
      <alignment horizontal="right"/>
    </xf>
    <xf numFmtId="0" fontId="17" fillId="0" borderId="17" xfId="0" applyFont="1" applyFill="1" applyBorder="1"/>
    <xf numFmtId="44" fontId="17" fillId="0" borderId="17" xfId="0" applyNumberFormat="1" applyFont="1" applyFill="1" applyBorder="1" applyAlignment="1">
      <alignment wrapText="1"/>
    </xf>
    <xf numFmtId="0" fontId="20" fillId="0" borderId="27" xfId="0" applyFont="1" applyFill="1" applyBorder="1"/>
    <xf numFmtId="0" fontId="27" fillId="0" borderId="27" xfId="0" applyFont="1" applyBorder="1"/>
    <xf numFmtId="0" fontId="36" fillId="0" borderId="27" xfId="0" applyFont="1" applyBorder="1"/>
    <xf numFmtId="0" fontId="14" fillId="0" borderId="27" xfId="0" applyFont="1" applyFill="1" applyBorder="1"/>
    <xf numFmtId="0" fontId="20" fillId="0" borderId="32" xfId="0" applyFont="1" applyFill="1" applyBorder="1"/>
    <xf numFmtId="0" fontId="20" fillId="0" borderId="32" xfId="0" applyFont="1" applyBorder="1"/>
    <xf numFmtId="0" fontId="17" fillId="0" borderId="31" xfId="0" applyFont="1" applyFill="1" applyBorder="1" applyAlignment="1">
      <alignment wrapText="1"/>
    </xf>
    <xf numFmtId="0" fontId="20" fillId="0" borderId="28" xfId="0" applyFont="1" applyFill="1" applyBorder="1"/>
    <xf numFmtId="0" fontId="17" fillId="0" borderId="26" xfId="0" applyFont="1" applyFill="1" applyBorder="1" applyAlignment="1">
      <alignment wrapText="1"/>
    </xf>
    <xf numFmtId="0" fontId="20" fillId="0" borderId="27" xfId="0" applyFont="1" applyFill="1" applyBorder="1" applyAlignment="1">
      <alignment horizontal="left"/>
    </xf>
    <xf numFmtId="0" fontId="20" fillId="0" borderId="28" xfId="0" applyFont="1" applyFill="1" applyBorder="1" applyAlignment="1">
      <alignment horizontal="left"/>
    </xf>
    <xf numFmtId="0" fontId="20" fillId="0" borderId="27" xfId="0" applyFont="1" applyFill="1" applyBorder="1" applyAlignment="1">
      <alignment wrapText="1"/>
    </xf>
    <xf numFmtId="0" fontId="20" fillId="0" borderId="27" xfId="0" applyFont="1" applyFill="1" applyBorder="1" applyAlignment="1">
      <alignment horizontal="left" vertical="top"/>
    </xf>
    <xf numFmtId="0" fontId="20" fillId="0" borderId="27" xfId="0" applyFont="1" applyFill="1" applyBorder="1" applyAlignment="1">
      <alignment horizontal="left" wrapText="1"/>
    </xf>
    <xf numFmtId="0" fontId="20" fillId="0" borderId="27" xfId="0" applyFont="1" applyFill="1" applyBorder="1" applyAlignment="1">
      <alignment vertical="top"/>
    </xf>
    <xf numFmtId="0" fontId="14" fillId="0" borderId="28" xfId="0" applyFont="1" applyFill="1" applyBorder="1" applyAlignment="1">
      <alignment horizontal="left"/>
    </xf>
    <xf numFmtId="0" fontId="17" fillId="0" borderId="31" xfId="0" applyFont="1" applyFill="1" applyBorder="1" applyAlignment="1">
      <alignment horizontal="left" wrapText="1"/>
    </xf>
    <xf numFmtId="0" fontId="17" fillId="0" borderId="31" xfId="0" applyFont="1" applyFill="1" applyBorder="1" applyAlignment="1">
      <alignment horizontal="left"/>
    </xf>
    <xf numFmtId="165" fontId="20" fillId="0" borderId="27" xfId="0" applyNumberFormat="1" applyFont="1" applyFill="1" applyBorder="1" applyAlignment="1">
      <alignment horizontal="left" wrapText="1"/>
    </xf>
    <xf numFmtId="165" fontId="20" fillId="0" borderId="27" xfId="0" applyNumberFormat="1" applyFont="1" applyFill="1" applyBorder="1" applyAlignment="1">
      <alignment horizontal="right"/>
    </xf>
    <xf numFmtId="0" fontId="20" fillId="6" borderId="1" xfId="0" applyFont="1" applyFill="1" applyBorder="1" applyAlignment="1">
      <alignment horizontal="left"/>
    </xf>
    <xf numFmtId="0" fontId="20" fillId="6" borderId="0" xfId="0" applyFont="1" applyFill="1" applyBorder="1" applyAlignment="1">
      <alignment horizontal="left"/>
    </xf>
    <xf numFmtId="0" fontId="20" fillId="6" borderId="4" xfId="0" applyFont="1" applyFill="1" applyBorder="1" applyAlignment="1">
      <alignment horizontal="left"/>
    </xf>
    <xf numFmtId="0" fontId="20" fillId="6" borderId="27" xfId="0" applyFont="1" applyFill="1" applyBorder="1" applyAlignment="1">
      <alignment horizontal="left"/>
    </xf>
    <xf numFmtId="0" fontId="20" fillId="6" borderId="2" xfId="0" applyFont="1" applyFill="1" applyBorder="1" applyAlignment="1">
      <alignment horizontal="left"/>
    </xf>
    <xf numFmtId="0" fontId="20" fillId="6" borderId="8" xfId="0" applyFont="1" applyFill="1" applyBorder="1" applyAlignment="1">
      <alignment horizontal="left"/>
    </xf>
    <xf numFmtId="0" fontId="20" fillId="6" borderId="3" xfId="0" applyFont="1" applyFill="1" applyBorder="1" applyAlignment="1">
      <alignment horizontal="left"/>
    </xf>
    <xf numFmtId="0" fontId="20" fillId="6" borderId="1" xfId="0" applyFont="1" applyFill="1" applyBorder="1"/>
    <xf numFmtId="0" fontId="20" fillId="6" borderId="0" xfId="0" applyFont="1" applyFill="1" applyBorder="1"/>
    <xf numFmtId="0" fontId="14" fillId="6" borderId="0" xfId="0" applyFont="1" applyFill="1" applyBorder="1" applyAlignment="1">
      <alignment horizontal="right" vertical="top"/>
    </xf>
    <xf numFmtId="0" fontId="14" fillId="6" borderId="0" xfId="0" applyFont="1" applyFill="1" applyBorder="1" applyAlignment="1">
      <alignment horizontal="left" vertical="top"/>
    </xf>
    <xf numFmtId="44" fontId="20" fillId="6" borderId="0" xfId="0" applyNumberFormat="1" applyFont="1" applyFill="1" applyBorder="1"/>
    <xf numFmtId="0" fontId="14" fillId="6" borderId="0" xfId="0" applyFont="1" applyFill="1" applyBorder="1"/>
    <xf numFmtId="0" fontId="20" fillId="6" borderId="4" xfId="0" applyFont="1" applyFill="1" applyBorder="1"/>
    <xf numFmtId="0" fontId="20" fillId="6" borderId="1" xfId="0" applyFont="1" applyFill="1" applyBorder="1" applyAlignment="1">
      <alignment horizontal="left" vertical="center"/>
    </xf>
    <xf numFmtId="0" fontId="17" fillId="6" borderId="0" xfId="0" applyFont="1" applyFill="1" applyBorder="1" applyAlignment="1">
      <alignment horizontal="left" vertical="center"/>
    </xf>
    <xf numFmtId="0" fontId="17" fillId="6" borderId="4" xfId="0" applyFont="1" applyFill="1" applyBorder="1" applyAlignment="1">
      <alignment horizontal="left" vertical="center"/>
    </xf>
    <xf numFmtId="165" fontId="20" fillId="6" borderId="0" xfId="0" applyNumberFormat="1" applyFont="1" applyFill="1" applyBorder="1"/>
    <xf numFmtId="0" fontId="20" fillId="6" borderId="0" xfId="0" applyFont="1" applyFill="1" applyBorder="1" applyAlignment="1">
      <alignment horizontal="right"/>
    </xf>
    <xf numFmtId="1" fontId="20" fillId="6" borderId="0" xfId="0" applyNumberFormat="1" applyFont="1" applyFill="1" applyBorder="1"/>
    <xf numFmtId="165" fontId="20" fillId="6" borderId="0" xfId="0" applyNumberFormat="1" applyFont="1" applyFill="1" applyBorder="1" applyAlignment="1">
      <alignment horizontal="right"/>
    </xf>
    <xf numFmtId="0" fontId="20" fillId="6" borderId="1" xfId="0" applyFont="1" applyFill="1" applyBorder="1" applyAlignment="1"/>
    <xf numFmtId="165" fontId="17" fillId="6" borderId="0" xfId="0" applyNumberFormat="1" applyFont="1" applyFill="1" applyBorder="1" applyAlignment="1">
      <alignment wrapText="1"/>
    </xf>
    <xf numFmtId="1" fontId="17" fillId="6" borderId="0" xfId="0" applyNumberFormat="1" applyFont="1" applyFill="1" applyBorder="1" applyAlignment="1">
      <alignment wrapText="1"/>
    </xf>
    <xf numFmtId="1" fontId="17" fillId="6" borderId="0" xfId="0" applyNumberFormat="1" applyFont="1" applyFill="1" applyBorder="1" applyAlignment="1">
      <alignment horizontal="right" wrapText="1"/>
    </xf>
    <xf numFmtId="165" fontId="17" fillId="6" borderId="0" xfId="0" applyNumberFormat="1" applyFont="1" applyFill="1" applyBorder="1" applyAlignment="1">
      <alignment horizontal="right" wrapText="1"/>
    </xf>
    <xf numFmtId="0" fontId="17" fillId="6" borderId="0" xfId="0" applyFont="1" applyFill="1" applyBorder="1" applyAlignment="1">
      <alignment wrapText="1"/>
    </xf>
    <xf numFmtId="0" fontId="17" fillId="6" borderId="4" xfId="0" applyFont="1" applyFill="1" applyBorder="1" applyAlignment="1">
      <alignment wrapText="1"/>
    </xf>
    <xf numFmtId="0" fontId="20" fillId="6" borderId="2" xfId="0" applyFont="1" applyFill="1" applyBorder="1"/>
    <xf numFmtId="0" fontId="20" fillId="6" borderId="8" xfId="0" applyFont="1" applyFill="1" applyBorder="1"/>
    <xf numFmtId="0" fontId="20" fillId="6" borderId="3" xfId="0" applyFont="1" applyFill="1" applyBorder="1"/>
    <xf numFmtId="0" fontId="14" fillId="6" borderId="4" xfId="0" applyFont="1" applyFill="1" applyBorder="1"/>
    <xf numFmtId="0" fontId="20" fillId="6" borderId="27" xfId="0" applyFont="1" applyFill="1" applyBorder="1"/>
    <xf numFmtId="44" fontId="20" fillId="6" borderId="4" xfId="0" applyNumberFormat="1" applyFont="1" applyFill="1" applyBorder="1"/>
    <xf numFmtId="166" fontId="20" fillId="6" borderId="0" xfId="0" applyNumberFormat="1" applyFont="1" applyFill="1" applyBorder="1"/>
    <xf numFmtId="0" fontId="17" fillId="0" borderId="22" xfId="0" applyFont="1" applyBorder="1"/>
    <xf numFmtId="165" fontId="14" fillId="6" borderId="0" xfId="0" applyNumberFormat="1" applyFont="1" applyFill="1" applyBorder="1"/>
    <xf numFmtId="0" fontId="20" fillId="11" borderId="1" xfId="0" applyFont="1" applyFill="1" applyBorder="1"/>
    <xf numFmtId="0" fontId="20" fillId="11" borderId="0" xfId="0" applyFont="1" applyFill="1" applyBorder="1"/>
    <xf numFmtId="166" fontId="20" fillId="11" borderId="0" xfId="0" applyNumberFormat="1" applyFont="1" applyFill="1" applyBorder="1"/>
    <xf numFmtId="166" fontId="20" fillId="11" borderId="4" xfId="0" applyNumberFormat="1" applyFont="1" applyFill="1" applyBorder="1"/>
    <xf numFmtId="166" fontId="20" fillId="6" borderId="4" xfId="0" applyNumberFormat="1" applyFont="1" applyFill="1" applyBorder="1"/>
    <xf numFmtId="0" fontId="20" fillId="6" borderId="1" xfId="0" applyNumberFormat="1" applyFont="1" applyFill="1" applyBorder="1" applyAlignment="1" applyProtection="1">
      <protection locked="0"/>
    </xf>
    <xf numFmtId="0" fontId="12" fillId="0" borderId="17" xfId="0" applyFont="1" applyFill="1" applyBorder="1" applyAlignment="1">
      <alignment horizontal="right"/>
    </xf>
    <xf numFmtId="0" fontId="12" fillId="0" borderId="17" xfId="0" applyNumberFormat="1" applyFont="1" applyFill="1" applyBorder="1" applyAlignment="1" applyProtection="1">
      <alignment horizontal="right"/>
      <protection locked="0"/>
    </xf>
    <xf numFmtId="0" fontId="37" fillId="0" borderId="17" xfId="0" applyFont="1" applyBorder="1" applyAlignment="1">
      <alignment horizontal="right"/>
    </xf>
    <xf numFmtId="166" fontId="27" fillId="0" borderId="17" xfId="0" applyNumberFormat="1" applyFont="1" applyBorder="1"/>
    <xf numFmtId="166" fontId="27" fillId="0" borderId="19" xfId="0" applyNumberFormat="1" applyFont="1" applyBorder="1"/>
    <xf numFmtId="166" fontId="37" fillId="0" borderId="33" xfId="0" applyNumberFormat="1" applyFont="1" applyBorder="1"/>
    <xf numFmtId="166" fontId="27" fillId="0" borderId="32" xfId="0" applyNumberFormat="1" applyFont="1" applyBorder="1"/>
    <xf numFmtId="166" fontId="36" fillId="0" borderId="35" xfId="0" applyNumberFormat="1" applyFont="1" applyBorder="1"/>
    <xf numFmtId="0" fontId="20" fillId="11" borderId="8" xfId="0" applyFont="1" applyFill="1" applyBorder="1"/>
    <xf numFmtId="166" fontId="20" fillId="11" borderId="8" xfId="0" applyNumberFormat="1" applyFont="1" applyFill="1" applyBorder="1"/>
    <xf numFmtId="166" fontId="20" fillId="6" borderId="3" xfId="0" applyNumberFormat="1" applyFont="1" applyFill="1" applyBorder="1"/>
    <xf numFmtId="0" fontId="14" fillId="0" borderId="32" xfId="0" applyFont="1" applyFill="1" applyBorder="1"/>
    <xf numFmtId="0" fontId="20" fillId="0" borderId="35" xfId="0" applyFont="1" applyFill="1" applyBorder="1"/>
    <xf numFmtId="0" fontId="14" fillId="0" borderId="32" xfId="0" applyNumberFormat="1" applyFont="1" applyFill="1" applyBorder="1" applyAlignment="1" applyProtection="1">
      <protection locked="0"/>
    </xf>
    <xf numFmtId="166" fontId="37" fillId="0" borderId="32" xfId="0" applyNumberFormat="1" applyFont="1" applyBorder="1"/>
    <xf numFmtId="0" fontId="26" fillId="0" borderId="33" xfId="0" applyFont="1" applyBorder="1" applyAlignment="1">
      <alignment horizontal="right" wrapText="1"/>
    </xf>
    <xf numFmtId="0" fontId="26" fillId="0" borderId="32" xfId="0" applyFont="1" applyFill="1" applyBorder="1"/>
    <xf numFmtId="2" fontId="27" fillId="0" borderId="32" xfId="0" applyNumberFormat="1" applyFont="1" applyBorder="1"/>
    <xf numFmtId="0" fontId="27" fillId="0" borderId="32" xfId="0" applyFont="1" applyBorder="1"/>
    <xf numFmtId="0" fontId="20" fillId="0" borderId="25" xfId="0" applyNumberFormat="1" applyFont="1" applyFill="1" applyBorder="1" applyAlignment="1" applyProtection="1">
      <protection locked="0"/>
    </xf>
    <xf numFmtId="0" fontId="14" fillId="0" borderId="25" xfId="0" applyNumberFormat="1" applyFont="1" applyFill="1" applyBorder="1" applyAlignment="1" applyProtection="1">
      <protection locked="0"/>
    </xf>
    <xf numFmtId="0" fontId="20" fillId="0" borderId="25" xfId="0" applyFont="1" applyBorder="1"/>
    <xf numFmtId="165" fontId="20" fillId="6" borderId="4" xfId="0" applyNumberFormat="1" applyFont="1" applyFill="1" applyBorder="1"/>
    <xf numFmtId="0" fontId="20" fillId="0" borderId="23" xfId="0" applyFont="1" applyBorder="1"/>
    <xf numFmtId="0" fontId="17" fillId="0" borderId="17" xfId="0" applyFont="1" applyBorder="1" applyAlignment="1">
      <alignment horizontal="right"/>
    </xf>
    <xf numFmtId="0" fontId="17" fillId="0" borderId="19" xfId="0" applyFont="1" applyBorder="1" applyAlignment="1">
      <alignment horizontal="right"/>
    </xf>
    <xf numFmtId="0" fontId="26" fillId="0" borderId="31" xfId="0" applyFont="1" applyBorder="1" applyAlignment="1">
      <alignment wrapText="1"/>
    </xf>
    <xf numFmtId="0" fontId="27" fillId="0" borderId="27" xfId="0" applyFont="1" applyFill="1" applyBorder="1"/>
    <xf numFmtId="0" fontId="26" fillId="0" borderId="27" xfId="0" applyFont="1" applyBorder="1"/>
    <xf numFmtId="0" fontId="26" fillId="0" borderId="27" xfId="0" applyFont="1" applyBorder="1" applyAlignment="1">
      <alignment vertical="top" wrapText="1"/>
    </xf>
    <xf numFmtId="0" fontId="27" fillId="0" borderId="27" xfId="0" applyFont="1" applyBorder="1" applyAlignment="1">
      <alignment wrapText="1"/>
    </xf>
    <xf numFmtId="0" fontId="26" fillId="0" borderId="28" xfId="0" applyFont="1" applyBorder="1" applyAlignment="1">
      <alignment wrapText="1"/>
    </xf>
    <xf numFmtId="0" fontId="17" fillId="0" borderId="31" xfId="0" applyFont="1" applyFill="1" applyBorder="1"/>
    <xf numFmtId="0" fontId="20" fillId="0" borderId="0" xfId="0" applyFont="1" applyBorder="1" applyAlignment="1">
      <alignment horizontal="right"/>
    </xf>
    <xf numFmtId="165" fontId="20" fillId="0" borderId="0" xfId="2" applyNumberFormat="1" applyFont="1" applyBorder="1"/>
    <xf numFmtId="0" fontId="24" fillId="0" borderId="0" xfId="1" applyFont="1" applyFill="1" applyBorder="1" applyAlignment="1">
      <alignment vertical="center"/>
    </xf>
    <xf numFmtId="0" fontId="20" fillId="0" borderId="0" xfId="0" applyFont="1" applyFill="1" applyBorder="1" applyAlignment="1">
      <alignment horizontal="right" vertical="top"/>
    </xf>
    <xf numFmtId="0" fontId="17" fillId="0" borderId="27" xfId="0" applyFont="1" applyFill="1" applyBorder="1" applyAlignment="1">
      <alignment horizontal="left"/>
    </xf>
    <xf numFmtId="0" fontId="20" fillId="0" borderId="20" xfId="0" applyFont="1" applyFill="1" applyBorder="1"/>
    <xf numFmtId="0" fontId="20" fillId="0" borderId="16" xfId="0" applyFont="1" applyFill="1" applyBorder="1"/>
    <xf numFmtId="165" fontId="20" fillId="0" borderId="16" xfId="0" applyNumberFormat="1" applyFont="1" applyFill="1" applyBorder="1"/>
    <xf numFmtId="44" fontId="20" fillId="0" borderId="17" xfId="0" applyNumberFormat="1" applyFont="1" applyFill="1" applyBorder="1"/>
    <xf numFmtId="0" fontId="14" fillId="0" borderId="19" xfId="0" applyFont="1" applyFill="1" applyBorder="1"/>
    <xf numFmtId="0" fontId="20" fillId="0" borderId="34" xfId="0" applyFont="1" applyFill="1" applyBorder="1" applyAlignment="1">
      <alignment horizontal="right"/>
    </xf>
    <xf numFmtId="0" fontId="20" fillId="0" borderId="32" xfId="0" applyFont="1" applyFill="1" applyBorder="1" applyAlignment="1">
      <alignment horizontal="right"/>
    </xf>
    <xf numFmtId="0" fontId="20" fillId="0" borderId="33" xfId="0" applyFont="1" applyFill="1" applyBorder="1"/>
    <xf numFmtId="0" fontId="20" fillId="0" borderId="34" xfId="0" applyFont="1" applyFill="1" applyBorder="1"/>
    <xf numFmtId="0" fontId="17" fillId="0" borderId="17" xfId="0" applyFont="1" applyFill="1" applyBorder="1" applyAlignment="1">
      <alignment horizontal="right" wrapText="1"/>
    </xf>
    <xf numFmtId="0" fontId="14" fillId="0" borderId="4" xfId="0" applyFont="1" applyFill="1" applyBorder="1" applyAlignment="1">
      <alignment horizontal="left" vertical="top" wrapText="1"/>
    </xf>
    <xf numFmtId="0" fontId="14" fillId="0" borderId="4" xfId="0" applyFont="1" applyFill="1" applyBorder="1" applyAlignment="1">
      <alignment horizontal="left" wrapText="1"/>
    </xf>
    <xf numFmtId="0" fontId="14" fillId="0" borderId="0" xfId="0" applyFont="1" applyFill="1" applyBorder="1" applyAlignment="1">
      <alignment horizontal="left"/>
    </xf>
    <xf numFmtId="0" fontId="17" fillId="0" borderId="0" xfId="2267" applyFont="1" applyBorder="1"/>
    <xf numFmtId="0" fontId="24" fillId="0" borderId="0" xfId="0" applyFont="1" applyFill="1" applyBorder="1" applyAlignment="1">
      <alignment vertical="center"/>
    </xf>
    <xf numFmtId="0" fontId="9" fillId="0" borderId="0" xfId="0" applyFont="1" applyFill="1" applyBorder="1"/>
    <xf numFmtId="0" fontId="30" fillId="0" borderId="0" xfId="2267" applyFont="1" applyBorder="1"/>
    <xf numFmtId="165" fontId="17" fillId="0" borderId="0" xfId="2267" applyNumberFormat="1" applyFont="1" applyBorder="1"/>
    <xf numFmtId="0" fontId="29" fillId="0" borderId="18" xfId="1" applyFont="1" applyBorder="1" applyAlignment="1">
      <alignment horizontal="left"/>
    </xf>
    <xf numFmtId="166" fontId="36" fillId="0" borderId="32" xfId="0" applyNumberFormat="1" applyFont="1" applyBorder="1"/>
    <xf numFmtId="0" fontId="17" fillId="0" borderId="13" xfId="0" applyFont="1" applyFill="1" applyBorder="1" applyAlignment="1"/>
    <xf numFmtId="0" fontId="17" fillId="0" borderId="14" xfId="0" applyFont="1" applyFill="1" applyBorder="1" applyAlignment="1"/>
    <xf numFmtId="0" fontId="17" fillId="0" borderId="15" xfId="0" applyFont="1" applyFill="1" applyBorder="1" applyAlignment="1"/>
    <xf numFmtId="0" fontId="20" fillId="0" borderId="26" xfId="0" applyFont="1" applyBorder="1"/>
    <xf numFmtId="0" fontId="8" fillId="0" borderId="10" xfId="2267" applyBorder="1"/>
    <xf numFmtId="0" fontId="17" fillId="6" borderId="8" xfId="0" applyFont="1" applyFill="1" applyBorder="1" applyAlignment="1">
      <alignment horizontal="left"/>
    </xf>
    <xf numFmtId="0" fontId="17" fillId="6" borderId="3" xfId="0" applyFont="1" applyFill="1" applyBorder="1" applyAlignment="1">
      <alignment horizontal="left"/>
    </xf>
    <xf numFmtId="0" fontId="20" fillId="6" borderId="2" xfId="0" applyFont="1" applyFill="1" applyBorder="1" applyAlignment="1">
      <alignment horizontal="left" vertical="center"/>
    </xf>
    <xf numFmtId="0" fontId="20" fillId="0" borderId="28" xfId="0" applyFont="1" applyFill="1" applyBorder="1" applyAlignment="1">
      <alignment vertical="top"/>
    </xf>
    <xf numFmtId="165" fontId="20" fillId="0" borderId="6" xfId="0" applyNumberFormat="1" applyFont="1" applyFill="1" applyBorder="1" applyAlignment="1">
      <alignment vertical="top"/>
    </xf>
    <xf numFmtId="0" fontId="20" fillId="0" borderId="6" xfId="0" applyFont="1" applyFill="1" applyBorder="1" applyAlignment="1">
      <alignment vertical="top"/>
    </xf>
    <xf numFmtId="165" fontId="17" fillId="0" borderId="6" xfId="0" applyNumberFormat="1" applyFont="1" applyFill="1" applyBorder="1" applyAlignment="1">
      <alignment vertical="top"/>
    </xf>
    <xf numFmtId="1" fontId="20" fillId="0" borderId="0" xfId="0" applyNumberFormat="1" applyFont="1" applyFill="1" applyBorder="1" applyAlignment="1">
      <alignment horizontal="right" vertical="top"/>
    </xf>
    <xf numFmtId="0" fontId="20" fillId="0" borderId="28" xfId="0" applyFont="1" applyFill="1" applyBorder="1" applyAlignment="1">
      <alignment horizontal="left" vertical="top"/>
    </xf>
    <xf numFmtId="165" fontId="20" fillId="0" borderId="6" xfId="0" applyNumberFormat="1" applyFont="1" applyFill="1" applyBorder="1" applyAlignment="1">
      <alignment horizontal="right" vertical="top"/>
    </xf>
    <xf numFmtId="0" fontId="20" fillId="0" borderId="6" xfId="0" applyFont="1" applyFill="1" applyBorder="1" applyAlignment="1">
      <alignment horizontal="right" vertical="top"/>
    </xf>
    <xf numFmtId="1" fontId="20" fillId="0" borderId="6" xfId="0" applyNumberFormat="1" applyFont="1" applyFill="1" applyBorder="1" applyAlignment="1">
      <alignment horizontal="right" vertical="top"/>
    </xf>
    <xf numFmtId="165" fontId="17" fillId="0" borderId="6" xfId="0" applyNumberFormat="1" applyFont="1" applyFill="1" applyBorder="1" applyAlignment="1">
      <alignment horizontal="right" vertical="top"/>
    </xf>
    <xf numFmtId="0" fontId="20" fillId="0" borderId="0" xfId="2" applyFont="1" applyFill="1"/>
    <xf numFmtId="0" fontId="0" fillId="11" borderId="2" xfId="0" applyFont="1" applyFill="1" applyBorder="1"/>
    <xf numFmtId="2" fontId="27" fillId="0" borderId="0" xfId="0" applyNumberFormat="1" applyFont="1" applyBorder="1"/>
    <xf numFmtId="0" fontId="8" fillId="7" borderId="10" xfId="2267" applyFill="1" applyBorder="1"/>
    <xf numFmtId="165" fontId="13" fillId="0" borderId="10" xfId="2267" applyNumberFormat="1" applyFont="1" applyFill="1" applyBorder="1"/>
    <xf numFmtId="165" fontId="13" fillId="0" borderId="37" xfId="2267" applyNumberFormat="1" applyFont="1" applyFill="1" applyBorder="1"/>
    <xf numFmtId="0" fontId="13" fillId="0" borderId="10" xfId="2267" applyFont="1" applyFill="1" applyBorder="1"/>
    <xf numFmtId="165" fontId="8" fillId="0" borderId="10" xfId="2267" applyNumberFormat="1" applyBorder="1"/>
    <xf numFmtId="165" fontId="8" fillId="0" borderId="10" xfId="2267" applyNumberFormat="1" applyFill="1" applyBorder="1"/>
    <xf numFmtId="165" fontId="13" fillId="7" borderId="10" xfId="2267" applyNumberFormat="1" applyFont="1" applyFill="1" applyBorder="1"/>
    <xf numFmtId="0" fontId="17" fillId="0" borderId="0" xfId="2" applyNumberFormat="1" applyFont="1" applyFill="1" applyBorder="1" applyAlignment="1" applyProtection="1">
      <alignment horizontal="right"/>
      <protection locked="0"/>
    </xf>
    <xf numFmtId="165" fontId="17" fillId="0" borderId="12" xfId="0" applyNumberFormat="1" applyFont="1" applyFill="1" applyBorder="1" applyAlignment="1" applyProtection="1"/>
    <xf numFmtId="165" fontId="17" fillId="0" borderId="12" xfId="0" applyNumberFormat="1" applyFont="1" applyFill="1" applyBorder="1" applyAlignment="1" applyProtection="1">
      <protection locked="0"/>
    </xf>
    <xf numFmtId="165" fontId="8" fillId="0" borderId="10" xfId="2267" applyNumberFormat="1" applyFont="1" applyFill="1" applyBorder="1"/>
    <xf numFmtId="165" fontId="8" fillId="0" borderId="37" xfId="2267" applyNumberFormat="1" applyFont="1" applyFill="1" applyBorder="1"/>
    <xf numFmtId="165" fontId="13" fillId="7" borderId="11" xfId="2267" applyNumberFormat="1" applyFont="1" applyFill="1" applyBorder="1"/>
    <xf numFmtId="165" fontId="13" fillId="7" borderId="6" xfId="2267" applyNumberFormat="1" applyFont="1" applyFill="1" applyBorder="1"/>
    <xf numFmtId="0" fontId="17" fillId="0" borderId="0" xfId="0" applyFont="1" applyAlignment="1" applyProtection="1">
      <alignment horizontal="right"/>
      <protection locked="0"/>
    </xf>
    <xf numFmtId="0" fontId="15" fillId="0" borderId="0" xfId="2" applyFont="1" applyFill="1" applyBorder="1" applyProtection="1">
      <protection locked="0"/>
    </xf>
    <xf numFmtId="165" fontId="0" fillId="0" borderId="0" xfId="2" applyNumberFormat="1" applyFont="1" applyFill="1" applyBorder="1" applyProtection="1"/>
    <xf numFmtId="0" fontId="17" fillId="0" borderId="12" xfId="2" applyNumberFormat="1" applyFont="1" applyFill="1" applyBorder="1" applyAlignment="1" applyProtection="1">
      <protection locked="0"/>
    </xf>
    <xf numFmtId="0" fontId="51" fillId="0" borderId="0" xfId="0" applyFont="1" applyFill="1" applyBorder="1"/>
    <xf numFmtId="0" fontId="13" fillId="0" borderId="0" xfId="0" applyFont="1" applyBorder="1" applyAlignment="1" applyProtection="1">
      <alignment horizontal="left"/>
      <protection locked="0"/>
    </xf>
    <xf numFmtId="0" fontId="20" fillId="0" borderId="0" xfId="2" applyNumberFormat="1" applyFont="1" applyFill="1" applyBorder="1" applyAlignment="1" applyProtection="1">
      <alignment horizontal="left"/>
      <protection locked="0"/>
    </xf>
    <xf numFmtId="0" fontId="17" fillId="0" borderId="0" xfId="2" applyNumberFormat="1" applyFont="1" applyFill="1" applyBorder="1" applyAlignment="1" applyProtection="1">
      <alignment horizontal="left"/>
      <protection locked="0"/>
    </xf>
    <xf numFmtId="2" fontId="17" fillId="0" borderId="0" xfId="0" applyNumberFormat="1" applyFont="1" applyFill="1" applyBorder="1" applyAlignment="1" applyProtection="1">
      <protection locked="0"/>
    </xf>
    <xf numFmtId="0" fontId="17" fillId="0" borderId="12" xfId="0" applyFont="1" applyBorder="1" applyAlignment="1" applyProtection="1">
      <alignment horizontal="left"/>
    </xf>
    <xf numFmtId="0" fontId="20" fillId="0" borderId="12" xfId="0" applyFont="1" applyBorder="1"/>
    <xf numFmtId="2" fontId="20" fillId="0" borderId="12" xfId="0" applyNumberFormat="1" applyFont="1" applyFill="1" applyBorder="1" applyAlignment="1" applyProtection="1">
      <protection locked="0"/>
    </xf>
    <xf numFmtId="0" fontId="20" fillId="0" borderId="12" xfId="0" applyNumberFormat="1" applyFont="1" applyFill="1" applyBorder="1" applyAlignment="1" applyProtection="1">
      <protection locked="0"/>
    </xf>
    <xf numFmtId="0" fontId="17" fillId="0" borderId="12" xfId="0" applyFont="1" applyBorder="1" applyAlignment="1" applyProtection="1">
      <alignment horizontal="left"/>
      <protection locked="0"/>
    </xf>
    <xf numFmtId="165" fontId="20" fillId="0" borderId="0" xfId="2" applyNumberFormat="1" applyFont="1" applyFill="1" applyBorder="1" applyAlignment="1" applyProtection="1">
      <alignment vertical="top" wrapText="1"/>
      <protection locked="0"/>
    </xf>
    <xf numFmtId="0" fontId="17" fillId="0" borderId="0" xfId="2" applyFont="1" applyBorder="1" applyProtection="1">
      <protection locked="0"/>
    </xf>
    <xf numFmtId="0" fontId="17" fillId="0" borderId="0" xfId="2" applyFont="1" applyFill="1" applyBorder="1" applyAlignment="1" applyProtection="1">
      <alignment vertical="top" wrapText="1"/>
      <protection locked="0"/>
    </xf>
    <xf numFmtId="165" fontId="17" fillId="0" borderId="0" xfId="2" applyNumberFormat="1" applyFont="1" applyFill="1" applyBorder="1" applyAlignment="1" applyProtection="1">
      <alignment vertical="top" wrapText="1"/>
      <protection locked="0"/>
    </xf>
    <xf numFmtId="165" fontId="31" fillId="0" borderId="0" xfId="2" applyNumberFormat="1" applyFont="1" applyFill="1" applyBorder="1" applyAlignment="1" applyProtection="1"/>
    <xf numFmtId="0" fontId="20" fillId="0" borderId="0" xfId="2" applyFont="1" applyProtection="1">
      <protection locked="0"/>
    </xf>
    <xf numFmtId="165" fontId="20" fillId="0" borderId="0" xfId="2" applyNumberFormat="1" applyFont="1"/>
    <xf numFmtId="165" fontId="20" fillId="0" borderId="0" xfId="2" applyNumberFormat="1" applyFont="1" applyFill="1"/>
    <xf numFmtId="165" fontId="20" fillId="0" borderId="0" xfId="2" applyNumberFormat="1" applyFont="1" applyProtection="1">
      <protection locked="0"/>
    </xf>
    <xf numFmtId="165" fontId="17" fillId="0" borderId="0" xfId="2" applyNumberFormat="1" applyFont="1" applyBorder="1"/>
    <xf numFmtId="165" fontId="17" fillId="0" borderId="0" xfId="2" applyNumberFormat="1" applyFont="1" applyFill="1" applyBorder="1" applyProtection="1">
      <protection locked="0"/>
    </xf>
    <xf numFmtId="165" fontId="17" fillId="0" borderId="0" xfId="2" applyNumberFormat="1" applyFont="1"/>
    <xf numFmtId="165" fontId="0" fillId="0" borderId="0" xfId="2267" applyNumberFormat="1" applyFont="1" applyFill="1" applyBorder="1"/>
    <xf numFmtId="165" fontId="0" fillId="0" borderId="17" xfId="2267" applyNumberFormat="1" applyFont="1" applyFill="1" applyBorder="1"/>
    <xf numFmtId="0" fontId="42" fillId="0" borderId="0" xfId="2267" applyFont="1" applyFill="1" applyBorder="1" applyAlignment="1">
      <alignment horizontal="right" wrapText="1"/>
    </xf>
    <xf numFmtId="0" fontId="8" fillId="0" borderId="0" xfId="2267" applyFont="1" applyFill="1" applyBorder="1" applyAlignment="1">
      <alignment horizontal="right"/>
    </xf>
    <xf numFmtId="0" fontId="8" fillId="0" borderId="0" xfId="2267" applyFill="1" applyBorder="1" applyAlignment="1">
      <alignment horizontal="right"/>
    </xf>
    <xf numFmtId="0" fontId="13" fillId="0" borderId="0" xfId="2267" applyFont="1" applyFill="1" applyBorder="1" applyAlignment="1">
      <alignment horizontal="left"/>
    </xf>
    <xf numFmtId="0" fontId="24" fillId="0" borderId="0" xfId="2267" applyFont="1" applyFill="1"/>
    <xf numFmtId="1" fontId="20" fillId="0" borderId="32" xfId="0" applyNumberFormat="1" applyFont="1" applyBorder="1"/>
    <xf numFmtId="166" fontId="20" fillId="0" borderId="14" xfId="0" applyNumberFormat="1" applyFont="1" applyFill="1" applyBorder="1"/>
    <xf numFmtId="1" fontId="20" fillId="0" borderId="6" xfId="0" applyNumberFormat="1" applyFont="1" applyBorder="1"/>
    <xf numFmtId="165" fontId="20" fillId="0" borderId="25" xfId="0" applyNumberFormat="1" applyFont="1" applyBorder="1"/>
    <xf numFmtId="1" fontId="20" fillId="0" borderId="35" xfId="0" applyNumberFormat="1" applyFont="1" applyBorder="1"/>
    <xf numFmtId="165" fontId="20" fillId="0" borderId="38" xfId="0" applyNumberFormat="1" applyFont="1" applyBorder="1"/>
    <xf numFmtId="2" fontId="37" fillId="0" borderId="26" xfId="0" applyNumberFormat="1" applyFont="1" applyBorder="1"/>
    <xf numFmtId="165" fontId="26" fillId="0" borderId="36" xfId="0" applyNumberFormat="1" applyFont="1" applyBorder="1" applyAlignment="1">
      <alignment horizontal="right" wrapText="1"/>
    </xf>
    <xf numFmtId="165" fontId="27" fillId="0" borderId="23" xfId="0" applyNumberFormat="1" applyFont="1" applyBorder="1" applyAlignment="1">
      <alignment horizontal="right" wrapText="1"/>
    </xf>
    <xf numFmtId="165" fontId="26" fillId="0" borderId="23" xfId="0" applyNumberFormat="1" applyFont="1" applyBorder="1" applyAlignment="1">
      <alignment horizontal="right" wrapText="1"/>
    </xf>
    <xf numFmtId="0" fontId="17" fillId="0" borderId="39" xfId="0" applyFont="1" applyBorder="1" applyAlignment="1">
      <alignment horizontal="right" wrapText="1"/>
    </xf>
    <xf numFmtId="166" fontId="27" fillId="0" borderId="23" xfId="0" applyNumberFormat="1" applyFont="1" applyFill="1" applyBorder="1"/>
    <xf numFmtId="0" fontId="20" fillId="0" borderId="24" xfId="0" applyFont="1" applyBorder="1"/>
    <xf numFmtId="0" fontId="17" fillId="0" borderId="36" xfId="0" applyFont="1" applyBorder="1" applyAlignment="1">
      <alignment horizontal="right" wrapText="1"/>
    </xf>
    <xf numFmtId="165" fontId="20" fillId="0" borderId="32" xfId="0" applyNumberFormat="1" applyFont="1" applyBorder="1"/>
    <xf numFmtId="165" fontId="20" fillId="0" borderId="35" xfId="0" applyNumberFormat="1" applyFont="1" applyBorder="1"/>
    <xf numFmtId="0" fontId="45" fillId="8" borderId="13" xfId="2264" applyFont="1" applyFill="1" applyBorder="1" applyAlignment="1" applyProtection="1">
      <alignment horizontal="center" vertical="center"/>
      <protection locked="0"/>
    </xf>
    <xf numFmtId="0" fontId="28" fillId="0" borderId="0" xfId="1" applyFont="1" applyBorder="1" applyAlignment="1">
      <alignment horizontal="left" wrapText="1"/>
    </xf>
    <xf numFmtId="0" fontId="20" fillId="0" borderId="27" xfId="0" applyFont="1" applyFill="1" applyBorder="1" applyAlignment="1">
      <alignment horizontal="left" vertical="top" wrapText="1"/>
    </xf>
    <xf numFmtId="0" fontId="35" fillId="0" borderId="0" xfId="0" applyFont="1" applyFill="1" applyBorder="1" applyAlignment="1">
      <alignment vertical="center"/>
    </xf>
    <xf numFmtId="1" fontId="14" fillId="0" borderId="0" xfId="0" applyNumberFormat="1" applyFont="1" applyFill="1" applyBorder="1" applyAlignment="1">
      <alignment horizontal="center" wrapText="1"/>
    </xf>
    <xf numFmtId="0" fontId="17" fillId="0" borderId="37" xfId="1" applyFont="1" applyFill="1" applyBorder="1" applyAlignment="1">
      <alignment horizontal="left" wrapText="1"/>
    </xf>
    <xf numFmtId="165" fontId="17" fillId="0" borderId="18" xfId="1" applyNumberFormat="1" applyFont="1" applyFill="1" applyBorder="1" applyAlignment="1">
      <alignment horizontal="right" wrapText="1"/>
    </xf>
    <xf numFmtId="165" fontId="17" fillId="0" borderId="17" xfId="1" applyNumberFormat="1" applyFont="1" applyFill="1" applyBorder="1" applyAlignment="1">
      <alignment horizontal="right" wrapText="1"/>
    </xf>
    <xf numFmtId="0" fontId="17" fillId="0" borderId="17" xfId="1" applyFont="1" applyFill="1" applyBorder="1" applyAlignment="1">
      <alignment horizontal="right" wrapText="1"/>
    </xf>
    <xf numFmtId="0" fontId="17" fillId="0" borderId="19" xfId="1" applyFont="1" applyFill="1" applyBorder="1" applyAlignment="1">
      <alignment horizontal="right" wrapText="1"/>
    </xf>
    <xf numFmtId="0" fontId="17" fillId="5" borderId="37" xfId="1" applyFont="1" applyFill="1" applyBorder="1" applyAlignment="1">
      <alignment wrapText="1"/>
    </xf>
    <xf numFmtId="165" fontId="17" fillId="0" borderId="19" xfId="1" applyNumberFormat="1" applyFont="1" applyFill="1" applyBorder="1" applyAlignment="1">
      <alignment horizontal="right" wrapText="1"/>
    </xf>
    <xf numFmtId="0" fontId="17" fillId="5" borderId="37" xfId="1" applyFont="1" applyFill="1" applyBorder="1" applyAlignment="1">
      <alignment horizontal="right" wrapText="1"/>
    </xf>
    <xf numFmtId="165" fontId="6" fillId="0" borderId="0" xfId="1" applyNumberFormat="1" applyFont="1" applyFill="1" applyBorder="1" applyAlignment="1">
      <alignment horizontal="left" vertical="top"/>
    </xf>
    <xf numFmtId="0" fontId="6" fillId="0" borderId="0" xfId="1" applyFont="1" applyFill="1" applyBorder="1" applyAlignment="1">
      <alignment horizontal="left"/>
    </xf>
    <xf numFmtId="165" fontId="20" fillId="0" borderId="32" xfId="0" applyNumberFormat="1" applyFont="1" applyFill="1" applyBorder="1" applyAlignment="1" applyProtection="1">
      <alignment wrapText="1"/>
      <protection locked="0"/>
    </xf>
    <xf numFmtId="165" fontId="20" fillId="0" borderId="0" xfId="0" applyNumberFormat="1" applyFont="1" applyFill="1" applyBorder="1" applyAlignment="1" applyProtection="1">
      <alignment wrapText="1"/>
      <protection locked="0"/>
    </xf>
    <xf numFmtId="165" fontId="20" fillId="0" borderId="35" xfId="0" applyNumberFormat="1" applyFont="1" applyFill="1" applyBorder="1" applyAlignment="1" applyProtection="1">
      <alignment wrapText="1"/>
      <protection locked="0"/>
    </xf>
    <xf numFmtId="0" fontId="34" fillId="0" borderId="0" xfId="0" applyFont="1" applyFill="1" applyBorder="1"/>
    <xf numFmtId="0" fontId="34" fillId="0" borderId="0" xfId="0" applyFont="1" applyFill="1" applyBorder="1" applyAlignment="1">
      <alignment wrapText="1"/>
    </xf>
    <xf numFmtId="166" fontId="34" fillId="0" borderId="0" xfId="0" applyNumberFormat="1" applyFont="1" applyFill="1" applyBorder="1"/>
    <xf numFmtId="166" fontId="20" fillId="0" borderId="0" xfId="0" applyNumberFormat="1" applyFont="1" applyFill="1" applyBorder="1" applyAlignment="1">
      <alignment horizontal="right" vertical="center"/>
    </xf>
    <xf numFmtId="0" fontId="17" fillId="0" borderId="0" xfId="0" applyNumberFormat="1" applyFont="1" applyFill="1" applyBorder="1" applyAlignment="1" applyProtection="1">
      <alignment wrapText="1"/>
      <protection locked="0"/>
    </xf>
    <xf numFmtId="0" fontId="0" fillId="0" borderId="0" xfId="0" applyBorder="1" applyAlignment="1">
      <alignment wrapText="1"/>
    </xf>
    <xf numFmtId="0" fontId="17" fillId="0" borderId="0" xfId="0" applyNumberFormat="1" applyFont="1" applyFill="1" applyBorder="1" applyAlignment="1" applyProtection="1">
      <alignment vertical="center"/>
      <protection locked="0"/>
    </xf>
    <xf numFmtId="0" fontId="17" fillId="0" borderId="5" xfId="0" applyNumberFormat="1" applyFont="1" applyFill="1" applyBorder="1" applyAlignment="1" applyProtection="1">
      <protection locked="0"/>
    </xf>
    <xf numFmtId="0" fontId="20" fillId="0" borderId="18" xfId="0" applyNumberFormat="1" applyFont="1" applyFill="1" applyBorder="1" applyAlignment="1" applyProtection="1">
      <protection locked="0"/>
    </xf>
    <xf numFmtId="0" fontId="17" fillId="0" borderId="17" xfId="0" applyNumberFormat="1" applyFont="1" applyFill="1" applyBorder="1" applyAlignment="1" applyProtection="1">
      <alignment horizontal="right"/>
      <protection locked="0"/>
    </xf>
    <xf numFmtId="0" fontId="17" fillId="0" borderId="19" xfId="0" applyNumberFormat="1" applyFont="1" applyFill="1" applyBorder="1" applyAlignment="1" applyProtection="1">
      <alignment horizontal="right" vertical="top" wrapText="1"/>
      <protection locked="0"/>
    </xf>
    <xf numFmtId="0" fontId="17" fillId="0" borderId="14" xfId="0" applyNumberFormat="1" applyFont="1" applyFill="1" applyBorder="1" applyAlignment="1" applyProtection="1">
      <alignment vertical="center"/>
      <protection locked="0"/>
    </xf>
    <xf numFmtId="0" fontId="17" fillId="0" borderId="15" xfId="0" applyNumberFormat="1" applyFont="1" applyFill="1" applyBorder="1" applyAlignment="1" applyProtection="1">
      <alignment vertical="center"/>
      <protection locked="0"/>
    </xf>
    <xf numFmtId="0" fontId="17" fillId="0" borderId="36" xfId="0" applyNumberFormat="1" applyFont="1" applyFill="1" applyBorder="1" applyAlignment="1" applyProtection="1">
      <alignment horizontal="right" wrapText="1"/>
      <protection locked="0"/>
    </xf>
    <xf numFmtId="165" fontId="20" fillId="0" borderId="33" xfId="0" applyNumberFormat="1" applyFont="1" applyFill="1" applyBorder="1" applyAlignment="1" applyProtection="1">
      <alignment wrapText="1"/>
      <protection locked="0"/>
    </xf>
    <xf numFmtId="165" fontId="20" fillId="0" borderId="17" xfId="0" applyNumberFormat="1" applyFont="1" applyFill="1" applyBorder="1" applyAlignment="1" applyProtection="1"/>
    <xf numFmtId="165" fontId="20" fillId="0" borderId="19" xfId="0" applyNumberFormat="1" applyFont="1" applyFill="1" applyBorder="1" applyAlignment="1" applyProtection="1"/>
    <xf numFmtId="165" fontId="17" fillId="0" borderId="12" xfId="0" applyNumberFormat="1" applyFont="1" applyFill="1" applyBorder="1" applyAlignment="1">
      <alignment horizontal="right" vertical="top"/>
    </xf>
    <xf numFmtId="165" fontId="20" fillId="0" borderId="17" xfId="0" applyNumberFormat="1" applyFont="1" applyFill="1" applyBorder="1" applyAlignment="1">
      <alignment horizontal="right" vertical="top"/>
    </xf>
    <xf numFmtId="165" fontId="20" fillId="0" borderId="17" xfId="0" applyNumberFormat="1" applyFont="1" applyFill="1" applyBorder="1" applyAlignment="1">
      <alignment horizontal="right"/>
    </xf>
    <xf numFmtId="0" fontId="17" fillId="0" borderId="27" xfId="0" applyFont="1" applyFill="1" applyBorder="1" applyAlignment="1">
      <alignment horizontal="left" vertical="top"/>
    </xf>
    <xf numFmtId="0" fontId="12" fillId="0" borderId="27" xfId="0" applyFont="1" applyFill="1" applyBorder="1" applyAlignment="1">
      <alignment vertical="top"/>
    </xf>
    <xf numFmtId="0" fontId="14" fillId="0" borderId="27" xfId="0" applyFont="1" applyFill="1" applyBorder="1" applyAlignment="1">
      <alignment horizontal="right"/>
    </xf>
    <xf numFmtId="165" fontId="20" fillId="0" borderId="17" xfId="2" applyNumberFormat="1" applyFont="1" applyFill="1" applyBorder="1" applyAlignment="1" applyProtection="1">
      <alignment vertical="top" wrapText="1"/>
      <protection locked="0"/>
    </xf>
    <xf numFmtId="0" fontId="0" fillId="0" borderId="0" xfId="0" applyFont="1" applyProtection="1">
      <protection locked="0"/>
    </xf>
    <xf numFmtId="0" fontId="0" fillId="0" borderId="0" xfId="2" applyFont="1"/>
    <xf numFmtId="0" fontId="0" fillId="0" borderId="0" xfId="0" applyFont="1" applyAlignment="1" applyProtection="1">
      <alignment horizontal="left"/>
      <protection locked="0"/>
    </xf>
    <xf numFmtId="0" fontId="0" fillId="0" borderId="0" xfId="0" applyFont="1" applyAlignment="1" applyProtection="1">
      <alignment horizontal="right"/>
      <protection locked="0"/>
    </xf>
    <xf numFmtId="0" fontId="0" fillId="0" borderId="12" xfId="0" applyFont="1" applyBorder="1"/>
    <xf numFmtId="0" fontId="0" fillId="0" borderId="12" xfId="2" applyNumberFormat="1" applyFont="1" applyFill="1" applyBorder="1" applyAlignment="1" applyProtection="1">
      <protection locked="0"/>
    </xf>
    <xf numFmtId="0" fontId="12" fillId="0" borderId="16" xfId="2" applyNumberFormat="1" applyFont="1" applyFill="1" applyBorder="1" applyAlignment="1" applyProtection="1">
      <protection locked="0"/>
    </xf>
    <xf numFmtId="0" fontId="12" fillId="0" borderId="16" xfId="0" applyFont="1" applyFill="1" applyBorder="1" applyProtection="1">
      <protection locked="0"/>
    </xf>
    <xf numFmtId="165" fontId="14" fillId="0" borderId="0" xfId="2" applyNumberFormat="1" applyFont="1" applyFill="1" applyBorder="1" applyAlignment="1" applyProtection="1">
      <protection locked="0"/>
    </xf>
    <xf numFmtId="165" fontId="0" fillId="0" borderId="0" xfId="2" quotePrefix="1" applyNumberFormat="1" applyFont="1" applyFill="1" applyBorder="1" applyAlignment="1" applyProtection="1">
      <protection locked="0"/>
    </xf>
    <xf numFmtId="165" fontId="14" fillId="0" borderId="17" xfId="2" applyNumberFormat="1" applyFont="1" applyFill="1" applyBorder="1" applyAlignment="1" applyProtection="1">
      <protection locked="0"/>
    </xf>
    <xf numFmtId="0" fontId="20" fillId="0" borderId="0" xfId="2" applyFont="1" applyFill="1" applyBorder="1" applyAlignment="1" applyProtection="1">
      <alignment horizontal="left"/>
      <protection locked="0"/>
    </xf>
    <xf numFmtId="0" fontId="20" fillId="0" borderId="0" xfId="2" applyNumberFormat="1" applyFont="1" applyFill="1" applyBorder="1" applyAlignment="1" applyProtection="1">
      <alignment horizontal="right"/>
      <protection locked="0"/>
    </xf>
    <xf numFmtId="0" fontId="20" fillId="0" borderId="12" xfId="2" applyNumberFormat="1" applyFont="1" applyFill="1" applyBorder="1" applyAlignment="1" applyProtection="1">
      <protection locked="0"/>
    </xf>
    <xf numFmtId="165" fontId="20" fillId="4" borderId="16" xfId="0" applyNumberFormat="1" applyFont="1" applyFill="1" applyBorder="1" applyProtection="1">
      <protection locked="0"/>
    </xf>
    <xf numFmtId="165" fontId="20" fillId="10" borderId="16" xfId="0" applyNumberFormat="1" applyFont="1" applyFill="1" applyBorder="1" applyProtection="1">
      <protection locked="0"/>
    </xf>
    <xf numFmtId="165" fontId="20" fillId="8" borderId="16" xfId="0" applyNumberFormat="1" applyFont="1" applyFill="1" applyBorder="1" applyProtection="1">
      <protection locked="0"/>
    </xf>
    <xf numFmtId="165" fontId="14" fillId="0" borderId="16" xfId="2" applyNumberFormat="1" applyFont="1" applyFill="1" applyBorder="1" applyAlignment="1" applyProtection="1">
      <protection locked="0"/>
    </xf>
    <xf numFmtId="165" fontId="20" fillId="0" borderId="16" xfId="2" applyNumberFormat="1" applyFont="1" applyFill="1" applyBorder="1" applyProtection="1">
      <protection locked="0"/>
    </xf>
    <xf numFmtId="165" fontId="20" fillId="4" borderId="0" xfId="0" applyNumberFormat="1" applyFont="1" applyFill="1" applyBorder="1" applyProtection="1">
      <protection locked="0"/>
    </xf>
    <xf numFmtId="165" fontId="20" fillId="10" borderId="0" xfId="0" applyNumberFormat="1" applyFont="1" applyFill="1" applyBorder="1" applyProtection="1">
      <protection locked="0"/>
    </xf>
    <xf numFmtId="165" fontId="20" fillId="8" borderId="0" xfId="0" applyNumberFormat="1" applyFont="1" applyFill="1" applyBorder="1" applyProtection="1">
      <protection locked="0"/>
    </xf>
    <xf numFmtId="0" fontId="20" fillId="0" borderId="17" xfId="0" applyFont="1" applyFill="1" applyBorder="1" applyAlignment="1">
      <alignment horizontal="right"/>
    </xf>
    <xf numFmtId="165" fontId="20" fillId="4" borderId="17" xfId="0" applyNumberFormat="1" applyFont="1" applyFill="1" applyBorder="1" applyProtection="1">
      <protection locked="0"/>
    </xf>
    <xf numFmtId="165" fontId="20" fillId="10" borderId="17" xfId="0" applyNumberFormat="1" applyFont="1" applyFill="1" applyBorder="1" applyProtection="1">
      <protection locked="0"/>
    </xf>
    <xf numFmtId="165" fontId="20" fillId="8" borderId="17" xfId="0" applyNumberFormat="1" applyFont="1" applyFill="1" applyBorder="1" applyProtection="1">
      <protection locked="0"/>
    </xf>
    <xf numFmtId="165" fontId="20" fillId="0" borderId="17" xfId="2" applyNumberFormat="1" applyFont="1" applyFill="1" applyBorder="1" applyProtection="1">
      <protection locked="0"/>
    </xf>
    <xf numFmtId="165" fontId="20" fillId="0" borderId="0" xfId="0" applyNumberFormat="1" applyFont="1" applyFill="1" applyProtection="1">
      <protection locked="0"/>
    </xf>
    <xf numFmtId="0" fontId="20" fillId="4" borderId="16" xfId="2" applyFont="1" applyFill="1" applyBorder="1"/>
    <xf numFmtId="0" fontId="20" fillId="10" borderId="16" xfId="2" applyFont="1" applyFill="1" applyBorder="1"/>
    <xf numFmtId="0" fontId="20" fillId="8" borderId="16" xfId="2" applyFont="1" applyFill="1" applyBorder="1"/>
    <xf numFmtId="165" fontId="20" fillId="4" borderId="0" xfId="2" applyNumberFormat="1" applyFont="1" applyFill="1" applyBorder="1" applyAlignment="1" applyProtection="1">
      <protection locked="0"/>
    </xf>
    <xf numFmtId="165" fontId="20" fillId="10" borderId="0" xfId="2" applyNumberFormat="1" applyFont="1" applyFill="1" applyBorder="1" applyAlignment="1" applyProtection="1">
      <protection locked="0"/>
    </xf>
    <xf numFmtId="165" fontId="20" fillId="8" borderId="0" xfId="2" applyNumberFormat="1" applyFont="1" applyFill="1" applyBorder="1" applyAlignment="1" applyProtection="1">
      <protection locked="0"/>
    </xf>
    <xf numFmtId="165" fontId="20" fillId="0" borderId="0" xfId="2" applyNumberFormat="1" applyFont="1" applyFill="1" applyBorder="1"/>
    <xf numFmtId="0" fontId="20" fillId="0" borderId="17" xfId="2" applyNumberFormat="1" applyFont="1" applyFill="1" applyBorder="1" applyAlignment="1" applyProtection="1">
      <protection locked="0"/>
    </xf>
    <xf numFmtId="165" fontId="20" fillId="4" borderId="17" xfId="2" applyNumberFormat="1" applyFont="1" applyFill="1" applyBorder="1" applyAlignment="1" applyProtection="1">
      <protection locked="0"/>
    </xf>
    <xf numFmtId="165" fontId="20" fillId="10" borderId="17" xfId="2" applyNumberFormat="1" applyFont="1" applyFill="1" applyBorder="1" applyAlignment="1" applyProtection="1">
      <protection locked="0"/>
    </xf>
    <xf numFmtId="165" fontId="20" fillId="8" borderId="17" xfId="2" applyNumberFormat="1" applyFont="1" applyFill="1" applyBorder="1" applyAlignment="1" applyProtection="1">
      <protection locked="0"/>
    </xf>
    <xf numFmtId="165" fontId="20" fillId="0" borderId="0" xfId="2" applyNumberFormat="1" applyFont="1" applyFill="1" applyProtection="1">
      <protection locked="0"/>
    </xf>
    <xf numFmtId="165" fontId="20" fillId="4" borderId="16" xfId="2" applyNumberFormat="1" applyFont="1" applyFill="1" applyBorder="1" applyAlignment="1" applyProtection="1">
      <protection locked="0"/>
    </xf>
    <xf numFmtId="165" fontId="20" fillId="10" borderId="16" xfId="2" applyNumberFormat="1" applyFont="1" applyFill="1" applyBorder="1" applyAlignment="1" applyProtection="1">
      <protection locked="0"/>
    </xf>
    <xf numFmtId="165" fontId="20" fillId="8" borderId="16" xfId="2" applyNumberFormat="1" applyFont="1" applyFill="1" applyBorder="1" applyAlignment="1" applyProtection="1">
      <protection locked="0"/>
    </xf>
    <xf numFmtId="165" fontId="20" fillId="0" borderId="16" xfId="2" applyNumberFormat="1" applyFont="1" applyFill="1" applyBorder="1" applyAlignment="1" applyProtection="1">
      <protection locked="0"/>
    </xf>
    <xf numFmtId="165" fontId="20" fillId="4" borderId="0" xfId="1" applyNumberFormat="1" applyFont="1" applyFill="1" applyBorder="1" applyAlignment="1" applyProtection="1">
      <protection locked="0"/>
    </xf>
    <xf numFmtId="165" fontId="20" fillId="0" borderId="0" xfId="2" quotePrefix="1" applyNumberFormat="1" applyFont="1" applyFill="1" applyBorder="1" applyAlignment="1" applyProtection="1">
      <protection locked="0"/>
    </xf>
    <xf numFmtId="0" fontId="20" fillId="0" borderId="17" xfId="2" applyFont="1" applyFill="1" applyBorder="1" applyAlignment="1">
      <alignment horizontal="right"/>
    </xf>
    <xf numFmtId="0" fontId="14" fillId="4" borderId="16" xfId="2" applyFont="1" applyFill="1" applyBorder="1" applyAlignment="1">
      <alignment wrapText="1"/>
    </xf>
    <xf numFmtId="0" fontId="14" fillId="10" borderId="16" xfId="2" applyFont="1" applyFill="1" applyBorder="1" applyAlignment="1">
      <alignment wrapText="1"/>
    </xf>
    <xf numFmtId="0" fontId="14" fillId="8" borderId="16" xfId="2" applyFont="1" applyFill="1" applyBorder="1" applyAlignment="1">
      <alignment wrapText="1"/>
    </xf>
    <xf numFmtId="0" fontId="20" fillId="0" borderId="16" xfId="2" applyFont="1" applyBorder="1" applyProtection="1">
      <protection locked="0"/>
    </xf>
    <xf numFmtId="0" fontId="20" fillId="0" borderId="17" xfId="2" applyNumberFormat="1" applyFont="1" applyFill="1" applyBorder="1" applyAlignment="1" applyProtection="1">
      <alignment horizontal="right"/>
      <protection locked="0"/>
    </xf>
    <xf numFmtId="0" fontId="20" fillId="0" borderId="17" xfId="0" applyFont="1" applyBorder="1" applyAlignment="1">
      <alignment horizontal="right"/>
    </xf>
    <xf numFmtId="0" fontId="20" fillId="0" borderId="17" xfId="2" applyFont="1" applyBorder="1" applyAlignment="1">
      <alignment horizontal="right"/>
    </xf>
    <xf numFmtId="165" fontId="0" fillId="0" borderId="0" xfId="2" applyNumberFormat="1" applyFont="1" applyBorder="1" applyProtection="1">
      <protection locked="0"/>
    </xf>
    <xf numFmtId="0" fontId="12" fillId="0" borderId="16" xfId="0" applyFont="1" applyBorder="1" applyProtection="1">
      <protection locked="0"/>
    </xf>
    <xf numFmtId="165" fontId="0" fillId="4" borderId="16" xfId="0" applyNumberFormat="1" applyFont="1" applyFill="1" applyBorder="1" applyProtection="1">
      <protection locked="0"/>
    </xf>
    <xf numFmtId="165" fontId="0" fillId="10" borderId="16" xfId="0" applyNumberFormat="1" applyFont="1" applyFill="1" applyBorder="1" applyProtection="1">
      <protection locked="0"/>
    </xf>
    <xf numFmtId="165" fontId="0" fillId="8" borderId="16" xfId="0" applyNumberFormat="1" applyFont="1" applyFill="1" applyBorder="1" applyProtection="1">
      <protection locked="0"/>
    </xf>
    <xf numFmtId="165" fontId="0" fillId="0" borderId="16" xfId="2" applyNumberFormat="1" applyFont="1" applyBorder="1" applyProtection="1">
      <protection locked="0"/>
    </xf>
    <xf numFmtId="165" fontId="0" fillId="0" borderId="0" xfId="2" applyNumberFormat="1" applyFont="1" applyBorder="1"/>
    <xf numFmtId="165" fontId="0" fillId="0" borderId="17" xfId="2" applyNumberFormat="1" applyFont="1" applyBorder="1" applyProtection="1">
      <protection locked="0"/>
    </xf>
    <xf numFmtId="0" fontId="0" fillId="0" borderId="0" xfId="2" applyFont="1" applyBorder="1" applyProtection="1">
      <protection locked="0"/>
    </xf>
    <xf numFmtId="165" fontId="14" fillId="0" borderId="0" xfId="2" applyNumberFormat="1" applyFont="1" applyFill="1" applyBorder="1" applyAlignment="1" applyProtection="1">
      <alignment vertical="top"/>
      <protection locked="0"/>
    </xf>
    <xf numFmtId="165" fontId="14" fillId="0" borderId="0" xfId="2" applyNumberFormat="1" applyFont="1" applyFill="1" applyBorder="1" applyAlignment="1" applyProtection="1">
      <alignment vertical="top" wrapText="1"/>
      <protection locked="0"/>
    </xf>
    <xf numFmtId="0" fontId="0" fillId="0" borderId="0" xfId="2" applyFont="1" applyFill="1" applyBorder="1" applyAlignment="1" applyProtection="1">
      <alignment vertical="top" wrapText="1"/>
      <protection locked="0"/>
    </xf>
    <xf numFmtId="0" fontId="0" fillId="0" borderId="17" xfId="2" applyFont="1" applyBorder="1" applyProtection="1">
      <protection locked="0"/>
    </xf>
    <xf numFmtId="0" fontId="0" fillId="0" borderId="17" xfId="2" applyFont="1" applyFill="1" applyBorder="1" applyAlignment="1" applyProtection="1">
      <alignment vertical="top" wrapText="1"/>
      <protection locked="0"/>
    </xf>
    <xf numFmtId="0" fontId="0" fillId="0" borderId="16" xfId="2" applyFont="1" applyBorder="1"/>
    <xf numFmtId="0" fontId="0" fillId="0" borderId="0" xfId="0" applyFont="1" applyBorder="1" applyProtection="1">
      <protection locked="0"/>
    </xf>
    <xf numFmtId="0" fontId="0" fillId="0" borderId="0" xfId="2" applyNumberFormat="1" applyFont="1" applyFill="1" applyBorder="1" applyAlignment="1" applyProtection="1">
      <alignment horizontal="left"/>
      <protection locked="0"/>
    </xf>
    <xf numFmtId="165" fontId="0" fillId="0" borderId="0" xfId="2" applyNumberFormat="1" applyFont="1"/>
    <xf numFmtId="2" fontId="0" fillId="0" borderId="12" xfId="0" applyNumberFormat="1" applyFont="1" applyFill="1" applyBorder="1" applyAlignment="1" applyProtection="1">
      <protection locked="0"/>
    </xf>
    <xf numFmtId="0" fontId="0" fillId="0" borderId="12" xfId="0" applyNumberFormat="1" applyFont="1" applyFill="1" applyBorder="1" applyAlignment="1" applyProtection="1">
      <protection locked="0"/>
    </xf>
    <xf numFmtId="165" fontId="0" fillId="0" borderId="0" xfId="0" applyNumberFormat="1" applyFont="1"/>
    <xf numFmtId="165" fontId="0" fillId="0" borderId="0" xfId="0" applyNumberFormat="1" applyFont="1" applyFill="1" applyBorder="1" applyAlignment="1" applyProtection="1"/>
    <xf numFmtId="0" fontId="14" fillId="0" borderId="0" xfId="0" applyFont="1" applyBorder="1" applyAlignment="1">
      <alignment horizontal="right" vertical="top" wrapText="1"/>
    </xf>
    <xf numFmtId="0" fontId="14" fillId="0" borderId="0" xfId="0" applyFont="1" applyBorder="1" applyAlignment="1" applyProtection="1">
      <alignment vertical="top"/>
      <protection locked="0"/>
    </xf>
    <xf numFmtId="0" fontId="17" fillId="0" borderId="0" xfId="0" applyFont="1" applyBorder="1" applyAlignment="1" applyProtection="1">
      <alignment horizontal="left"/>
      <protection locked="0"/>
    </xf>
    <xf numFmtId="0" fontId="25" fillId="0" borderId="0" xfId="1"/>
    <xf numFmtId="165" fontId="20" fillId="4" borderId="16" xfId="2" applyNumberFormat="1" applyFont="1" applyFill="1" applyBorder="1" applyProtection="1">
      <protection locked="0"/>
    </xf>
    <xf numFmtId="165" fontId="20" fillId="10" borderId="16" xfId="2" applyNumberFormat="1" applyFont="1" applyFill="1" applyBorder="1" applyProtection="1">
      <protection locked="0"/>
    </xf>
    <xf numFmtId="0" fontId="20" fillId="8" borderId="16" xfId="2" applyNumberFormat="1" applyFont="1" applyFill="1" applyBorder="1" applyAlignment="1" applyProtection="1">
      <protection locked="0"/>
    </xf>
    <xf numFmtId="165" fontId="14" fillId="0" borderId="17" xfId="0" applyNumberFormat="1" applyFont="1" applyFill="1" applyBorder="1" applyProtection="1">
      <protection locked="0"/>
    </xf>
    <xf numFmtId="0" fontId="14" fillId="4" borderId="16" xfId="0" applyFont="1" applyFill="1" applyBorder="1"/>
    <xf numFmtId="0" fontId="14" fillId="10" borderId="16" xfId="0" applyFont="1" applyFill="1" applyBorder="1"/>
    <xf numFmtId="0" fontId="14" fillId="8" borderId="16" xfId="0" applyFont="1" applyFill="1" applyBorder="1" applyAlignment="1">
      <alignment wrapText="1"/>
    </xf>
    <xf numFmtId="2" fontId="0" fillId="0" borderId="0" xfId="2" applyNumberFormat="1" applyFont="1" applyFill="1" applyBorder="1" applyAlignment="1" applyProtection="1"/>
    <xf numFmtId="0" fontId="12" fillId="0" borderId="16" xfId="0" applyNumberFormat="1" applyFont="1" applyFill="1" applyBorder="1" applyAlignment="1" applyProtection="1">
      <protection locked="0"/>
    </xf>
    <xf numFmtId="165" fontId="14" fillId="0" borderId="0" xfId="0" applyNumberFormat="1" applyFont="1" applyFill="1" applyBorder="1" applyAlignment="1" applyProtection="1">
      <protection locked="0"/>
    </xf>
    <xf numFmtId="165" fontId="17" fillId="0" borderId="0" xfId="0" quotePrefix="1" applyNumberFormat="1" applyFont="1" applyFill="1" applyBorder="1" applyAlignment="1" applyProtection="1">
      <protection locked="0"/>
    </xf>
    <xf numFmtId="0" fontId="0" fillId="4" borderId="16" xfId="0" applyFont="1" applyFill="1" applyBorder="1"/>
    <xf numFmtId="0" fontId="0" fillId="10" borderId="16" xfId="0" applyFont="1" applyFill="1" applyBorder="1"/>
    <xf numFmtId="0" fontId="0" fillId="8" borderId="16" xfId="0" applyFont="1" applyFill="1" applyBorder="1"/>
    <xf numFmtId="0" fontId="0" fillId="0" borderId="16" xfId="0" applyFont="1" applyBorder="1"/>
    <xf numFmtId="0" fontId="0" fillId="0" borderId="16" xfId="0" applyNumberFormat="1" applyFont="1" applyFill="1" applyBorder="1" applyAlignment="1" applyProtection="1">
      <protection locked="0"/>
    </xf>
    <xf numFmtId="165" fontId="0" fillId="4" borderId="17" xfId="2" applyNumberFormat="1" applyFont="1" applyFill="1" applyBorder="1" applyProtection="1">
      <protection locked="0"/>
    </xf>
    <xf numFmtId="165" fontId="0" fillId="10" borderId="17" xfId="2" applyNumberFormat="1" applyFont="1" applyFill="1" applyBorder="1" applyProtection="1">
      <protection locked="0"/>
    </xf>
    <xf numFmtId="0" fontId="0" fillId="0" borderId="0" xfId="0" applyFont="1" applyAlignment="1" applyProtection="1">
      <alignment horizontal="left" vertical="top" wrapText="1"/>
      <protection locked="0"/>
    </xf>
    <xf numFmtId="0" fontId="12" fillId="0" borderId="16" xfId="2" applyNumberFormat="1" applyFont="1" applyFill="1" applyBorder="1" applyAlignment="1" applyProtection="1">
      <alignment horizontal="left" vertical="top"/>
      <protection locked="0"/>
    </xf>
    <xf numFmtId="165" fontId="0" fillId="0" borderId="12" xfId="2" applyNumberFormat="1" applyFont="1" applyFill="1" applyBorder="1" applyAlignment="1" applyProtection="1">
      <protection locked="0"/>
    </xf>
    <xf numFmtId="165" fontId="0" fillId="0" borderId="12" xfId="2" quotePrefix="1" applyNumberFormat="1" applyFont="1" applyFill="1" applyBorder="1" applyAlignment="1" applyProtection="1">
      <protection locked="0"/>
    </xf>
    <xf numFmtId="0" fontId="0" fillId="0" borderId="12" xfId="2" applyFont="1" applyFill="1" applyBorder="1"/>
    <xf numFmtId="0" fontId="31" fillId="0" borderId="0" xfId="0" applyFont="1" applyFill="1" applyBorder="1" applyAlignment="1" applyProtection="1">
      <protection locked="0"/>
    </xf>
    <xf numFmtId="0" fontId="17" fillId="0" borderId="5" xfId="0" applyFont="1" applyBorder="1"/>
    <xf numFmtId="0" fontId="0" fillId="0" borderId="1" xfId="0" applyNumberFormat="1" applyFont="1" applyFill="1" applyBorder="1" applyAlignment="1" applyProtection="1">
      <protection locked="0"/>
    </xf>
    <xf numFmtId="0" fontId="0" fillId="8" borderId="15" xfId="0" applyFill="1" applyBorder="1" applyAlignment="1">
      <alignment horizontal="center"/>
    </xf>
    <xf numFmtId="0" fontId="31" fillId="8" borderId="40" xfId="0" applyFont="1" applyFill="1" applyBorder="1" applyAlignment="1" applyProtection="1">
      <protection locked="0"/>
    </xf>
    <xf numFmtId="0" fontId="17" fillId="0" borderId="0" xfId="2264" applyFont="1"/>
    <xf numFmtId="0" fontId="18" fillId="0" borderId="0" xfId="0" applyFont="1" applyProtection="1">
      <protection locked="0"/>
    </xf>
    <xf numFmtId="0" fontId="54" fillId="0" borderId="0" xfId="0" applyFont="1" applyProtection="1">
      <protection locked="0"/>
    </xf>
    <xf numFmtId="0" fontId="18" fillId="0" borderId="0" xfId="2" applyNumberFormat="1" applyFont="1" applyFill="1" applyBorder="1" applyAlignment="1" applyProtection="1">
      <protection locked="0"/>
    </xf>
    <xf numFmtId="0" fontId="9" fillId="0" borderId="0" xfId="2" applyFont="1" applyBorder="1"/>
    <xf numFmtId="0" fontId="18" fillId="0" borderId="0" xfId="0" applyFont="1" applyAlignment="1" applyProtection="1">
      <alignment wrapText="1"/>
      <protection locked="0"/>
    </xf>
    <xf numFmtId="165" fontId="14" fillId="0" borderId="0" xfId="0" applyNumberFormat="1" applyFont="1" applyProtection="1">
      <protection locked="0"/>
    </xf>
    <xf numFmtId="165" fontId="14" fillId="0" borderId="17" xfId="0" applyNumberFormat="1" applyFont="1" applyBorder="1" applyProtection="1">
      <protection locked="0"/>
    </xf>
    <xf numFmtId="165" fontId="0" fillId="0" borderId="17" xfId="2" applyNumberFormat="1" applyFont="1" applyFill="1" applyBorder="1"/>
    <xf numFmtId="0" fontId="31" fillId="12" borderId="12" xfId="2" applyFont="1" applyFill="1" applyBorder="1"/>
    <xf numFmtId="0" fontId="0" fillId="12" borderId="12" xfId="2" applyFont="1" applyFill="1" applyBorder="1"/>
    <xf numFmtId="0" fontId="45" fillId="0" borderId="0" xfId="2264" applyFont="1" applyFill="1" applyBorder="1" applyAlignment="1" applyProtection="1">
      <alignment horizontal="center" vertical="center"/>
      <protection locked="0"/>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43" fillId="0" borderId="0" xfId="0" applyFont="1" applyFill="1" applyBorder="1" applyAlignment="1">
      <alignment vertical="center"/>
    </xf>
    <xf numFmtId="0" fontId="15" fillId="0" borderId="0" xfId="0" applyFont="1" applyFill="1" applyBorder="1" applyAlignment="1" applyProtection="1">
      <alignment vertical="top" wrapText="1"/>
      <protection locked="0"/>
    </xf>
    <xf numFmtId="0" fontId="20" fillId="0" borderId="0" xfId="0" applyFont="1" applyFill="1" applyBorder="1" applyAlignment="1" applyProtection="1">
      <alignment wrapText="1"/>
      <protection locked="0"/>
    </xf>
    <xf numFmtId="0" fontId="30" fillId="0" borderId="0" xfId="0" applyFont="1" applyFill="1" applyBorder="1" applyProtection="1">
      <protection locked="0"/>
    </xf>
    <xf numFmtId="0" fontId="17" fillId="0" borderId="0" xfId="1" applyFont="1" applyFill="1" applyBorder="1" applyAlignment="1"/>
    <xf numFmtId="0" fontId="48" fillId="0" borderId="0" xfId="0" applyFont="1"/>
    <xf numFmtId="0" fontId="48" fillId="0" borderId="0" xfId="2264" applyFont="1" applyBorder="1" applyAlignment="1">
      <alignment horizontal="left" vertical="top"/>
    </xf>
    <xf numFmtId="0" fontId="5" fillId="0" borderId="1" xfId="0" applyFont="1" applyBorder="1"/>
    <xf numFmtId="0" fontId="5" fillId="0" borderId="1" xfId="2411" applyFont="1" applyBorder="1" applyAlignment="1">
      <alignment horizontal="left"/>
    </xf>
    <xf numFmtId="0" fontId="0" fillId="0" borderId="1" xfId="0" applyFont="1" applyBorder="1"/>
    <xf numFmtId="0" fontId="5" fillId="0" borderId="1" xfId="1" applyFont="1" applyBorder="1" applyAlignment="1">
      <alignment horizontal="left"/>
    </xf>
    <xf numFmtId="2" fontId="0" fillId="6" borderId="1" xfId="0" applyNumberFormat="1" applyFont="1" applyFill="1" applyBorder="1"/>
    <xf numFmtId="0" fontId="0" fillId="0" borderId="0" xfId="0" applyFont="1" applyFill="1" applyAlignment="1">
      <alignment vertical="top"/>
    </xf>
    <xf numFmtId="0" fontId="55" fillId="0" borderId="0" xfId="0" applyFont="1" applyFill="1" applyBorder="1" applyAlignment="1">
      <alignment vertical="center"/>
    </xf>
    <xf numFmtId="0" fontId="43" fillId="0" borderId="0" xfId="0" applyFont="1" applyFill="1" applyBorder="1" applyAlignment="1">
      <alignment horizontal="left" vertical="center"/>
    </xf>
    <xf numFmtId="0" fontId="0" fillId="0" borderId="0" xfId="0" applyFont="1" applyFill="1" applyBorder="1" applyAlignment="1">
      <alignment vertical="top" wrapText="1"/>
    </xf>
    <xf numFmtId="0" fontId="14" fillId="0" borderId="0" xfId="2" applyFont="1" applyFill="1"/>
    <xf numFmtId="165" fontId="4" fillId="0" borderId="0" xfId="2" applyNumberFormat="1" applyFont="1" applyFill="1" applyBorder="1"/>
    <xf numFmtId="0" fontId="4" fillId="0" borderId="0" xfId="2" applyNumberFormat="1" applyFont="1" applyFill="1" applyBorder="1"/>
    <xf numFmtId="165" fontId="29" fillId="0" borderId="0" xfId="2" applyNumberFormat="1" applyFont="1" applyFill="1" applyBorder="1"/>
    <xf numFmtId="0" fontId="20" fillId="0" borderId="0" xfId="2" applyFont="1" applyBorder="1" applyAlignment="1">
      <alignment vertical="center"/>
    </xf>
    <xf numFmtId="0" fontId="58" fillId="0" borderId="0" xfId="2" applyFont="1" applyFill="1" applyBorder="1" applyAlignment="1"/>
    <xf numFmtId="0" fontId="14" fillId="0" borderId="0" xfId="2" applyFont="1" applyBorder="1"/>
    <xf numFmtId="0" fontId="31" fillId="0" borderId="0" xfId="2" applyFont="1" applyFill="1" applyAlignment="1" applyProtection="1">
      <protection locked="0"/>
    </xf>
    <xf numFmtId="0" fontId="9" fillId="0" borderId="0" xfId="2" applyFont="1" applyFill="1"/>
    <xf numFmtId="0" fontId="20" fillId="0" borderId="4" xfId="2" applyFont="1" applyBorder="1"/>
    <xf numFmtId="0" fontId="24" fillId="0" borderId="0" xfId="2" applyFont="1"/>
    <xf numFmtId="0" fontId="35" fillId="0" borderId="0" xfId="2267" applyFont="1" applyFill="1" applyBorder="1" applyAlignment="1">
      <alignment vertical="top" wrapText="1"/>
    </xf>
    <xf numFmtId="0" fontId="0" fillId="0" borderId="27" xfId="0" applyFont="1" applyFill="1" applyBorder="1"/>
    <xf numFmtId="1" fontId="20" fillId="0" borderId="0" xfId="2" applyNumberFormat="1" applyFont="1" applyFill="1" applyBorder="1" applyAlignment="1" applyProtection="1">
      <alignment horizontal="left"/>
      <protection locked="0"/>
    </xf>
    <xf numFmtId="1" fontId="0" fillId="0" borderId="0" xfId="2" applyNumberFormat="1" applyFont="1" applyFill="1" applyBorder="1" applyAlignment="1" applyProtection="1">
      <alignment horizontal="left"/>
      <protection locked="0"/>
    </xf>
    <xf numFmtId="1" fontId="0" fillId="0" borderId="0" xfId="0" applyNumberFormat="1" applyFont="1" applyAlignment="1" applyProtection="1">
      <alignment horizontal="left"/>
      <protection locked="0"/>
    </xf>
    <xf numFmtId="9" fontId="20" fillId="0" borderId="0" xfId="2869" applyFont="1" applyFill="1" applyBorder="1"/>
    <xf numFmtId="0" fontId="29" fillId="0" borderId="0" xfId="2" applyFont="1" applyBorder="1" applyAlignment="1"/>
    <xf numFmtId="0" fontId="0" fillId="0" borderId="0" xfId="0" applyFont="1" applyFill="1" applyBorder="1" applyAlignment="1">
      <alignment horizontal="left" vertical="top" wrapText="1"/>
    </xf>
    <xf numFmtId="0" fontId="43" fillId="0" borderId="14" xfId="1" applyFont="1" applyFill="1" applyBorder="1" applyAlignment="1"/>
    <xf numFmtId="0" fontId="43" fillId="0" borderId="15" xfId="0" applyFont="1" applyFill="1" applyBorder="1" applyAlignment="1">
      <alignment horizontal="right"/>
    </xf>
    <xf numFmtId="0" fontId="14" fillId="0" borderId="0" xfId="0" applyNumberFormat="1" applyFont="1" applyFill="1" applyBorder="1" applyAlignment="1" applyProtection="1">
      <protection locked="0"/>
    </xf>
    <xf numFmtId="0" fontId="0" fillId="0" borderId="0" xfId="0" applyFont="1" applyFill="1" applyBorder="1" applyAlignment="1">
      <alignment horizontal="left" vertical="top" wrapText="1"/>
    </xf>
    <xf numFmtId="0" fontId="59" fillId="0" borderId="0" xfId="0" applyFont="1" applyFill="1" applyBorder="1" applyAlignment="1">
      <alignment horizontal="left" vertical="center"/>
    </xf>
    <xf numFmtId="0" fontId="61" fillId="0" borderId="0" xfId="0" applyFont="1" applyFill="1" applyBorder="1" applyAlignment="1">
      <alignment horizontal="left" vertical="center"/>
    </xf>
    <xf numFmtId="0" fontId="8" fillId="0" borderId="10" xfId="2267" applyFill="1" applyBorder="1"/>
    <xf numFmtId="0" fontId="48" fillId="0" borderId="0" xfId="0" applyFont="1" applyFill="1"/>
    <xf numFmtId="0" fontId="17" fillId="0" borderId="0" xfId="0" applyFont="1" applyFill="1" applyBorder="1" applyAlignment="1">
      <alignment horizontal="left" vertical="top"/>
    </xf>
    <xf numFmtId="0" fontId="12" fillId="0" borderId="0" xfId="0" applyFont="1" applyFill="1" applyBorder="1" applyAlignment="1">
      <alignment vertical="top"/>
    </xf>
    <xf numFmtId="0" fontId="0" fillId="0" borderId="0" xfId="0" applyFont="1" applyFill="1" applyBorder="1" applyAlignment="1"/>
    <xf numFmtId="0" fontId="0" fillId="0" borderId="0" xfId="0" applyFont="1" applyFill="1" applyBorder="1" applyAlignment="1">
      <alignment horizontal="left" vertical="top"/>
    </xf>
    <xf numFmtId="0" fontId="0" fillId="0" borderId="0" xfId="0" applyFont="1" applyFill="1" applyBorder="1" applyAlignment="1">
      <alignment horizontal="left" wrapText="1"/>
    </xf>
    <xf numFmtId="165" fontId="3" fillId="0" borderId="0" xfId="1" applyNumberFormat="1" applyFont="1" applyFill="1" applyBorder="1" applyAlignment="1">
      <alignment horizontal="left" vertical="top"/>
    </xf>
    <xf numFmtId="3" fontId="0" fillId="0" borderId="0" xfId="0" applyNumberFormat="1" applyBorder="1"/>
    <xf numFmtId="0" fontId="0" fillId="0" borderId="0" xfId="0" applyBorder="1" applyAlignment="1">
      <alignment horizontal="center"/>
    </xf>
    <xf numFmtId="0" fontId="0" fillId="0" borderId="0" xfId="0" applyBorder="1" applyAlignment="1">
      <alignment horizontal="right"/>
    </xf>
    <xf numFmtId="1" fontId="0" fillId="0" borderId="0" xfId="0" applyNumberFormat="1" applyBorder="1"/>
    <xf numFmtId="0" fontId="0" fillId="8" borderId="13" xfId="0" applyFill="1" applyBorder="1"/>
    <xf numFmtId="0" fontId="0" fillId="7" borderId="0" xfId="0" applyFill="1" applyBorder="1" applyAlignment="1">
      <alignment horizontal="center"/>
    </xf>
    <xf numFmtId="0" fontId="0" fillId="7" borderId="0" xfId="0" applyFill="1" applyBorder="1" applyAlignment="1">
      <alignment horizontal="right"/>
    </xf>
    <xf numFmtId="1" fontId="0" fillId="7" borderId="0" xfId="0" applyNumberFormat="1" applyFill="1" applyBorder="1"/>
    <xf numFmtId="0" fontId="0" fillId="7" borderId="0" xfId="0" applyFill="1" applyBorder="1"/>
    <xf numFmtId="3" fontId="0" fillId="7" borderId="0" xfId="0" applyNumberFormat="1" applyFill="1" applyBorder="1"/>
    <xf numFmtId="3" fontId="0" fillId="0" borderId="0" xfId="0" applyNumberFormat="1" applyFont="1" applyAlignment="1" applyProtection="1">
      <alignment horizontal="left"/>
      <protection locked="0"/>
    </xf>
    <xf numFmtId="1" fontId="20" fillId="0" borderId="16" xfId="0" applyNumberFormat="1" applyFont="1" applyFill="1" applyBorder="1"/>
    <xf numFmtId="1" fontId="20" fillId="0" borderId="17" xfId="0" applyNumberFormat="1" applyFont="1" applyFill="1" applyBorder="1"/>
    <xf numFmtId="1" fontId="20" fillId="0" borderId="0" xfId="0" applyNumberFormat="1" applyFont="1" applyFill="1" applyBorder="1" applyAlignment="1">
      <alignment vertical="top"/>
    </xf>
    <xf numFmtId="0" fontId="31" fillId="0" borderId="0" xfId="1" applyFont="1" applyFill="1" applyAlignment="1">
      <alignment horizontal="center" textRotation="90" wrapText="1"/>
    </xf>
    <xf numFmtId="9" fontId="28" fillId="0" borderId="6" xfId="1" applyNumberFormat="1" applyFont="1" applyFill="1" applyBorder="1"/>
    <xf numFmtId="0" fontId="0" fillId="0" borderId="4" xfId="0" applyBorder="1"/>
    <xf numFmtId="0" fontId="0" fillId="6" borderId="0" xfId="0" applyFill="1" applyBorder="1"/>
    <xf numFmtId="165" fontId="28" fillId="0" borderId="4" xfId="1" applyNumberFormat="1" applyFont="1" applyFill="1" applyBorder="1"/>
    <xf numFmtId="165" fontId="28" fillId="2" borderId="4" xfId="1" applyNumberFormat="1" applyFont="1" applyFill="1" applyBorder="1" applyAlignment="1">
      <alignment vertical="top" wrapText="1"/>
    </xf>
    <xf numFmtId="165" fontId="28" fillId="2" borderId="4" xfId="1" applyNumberFormat="1" applyFont="1" applyFill="1" applyBorder="1"/>
    <xf numFmtId="0" fontId="28" fillId="0" borderId="4" xfId="1" applyFont="1" applyBorder="1"/>
    <xf numFmtId="165" fontId="28" fillId="9" borderId="4" xfId="1" applyNumberFormat="1" applyFont="1" applyFill="1" applyBorder="1"/>
    <xf numFmtId="165" fontId="28" fillId="9" borderId="4" xfId="1" applyNumberFormat="1" applyFont="1" applyFill="1" applyBorder="1" applyAlignment="1">
      <alignment horizontal="center"/>
    </xf>
    <xf numFmtId="165" fontId="28" fillId="0" borderId="4" xfId="1" applyNumberFormat="1" applyFont="1" applyFill="1" applyBorder="1" applyAlignment="1">
      <alignment horizontal="center"/>
    </xf>
    <xf numFmtId="2" fontId="28" fillId="0" borderId="5" xfId="1" applyNumberFormat="1" applyFont="1" applyFill="1" applyBorder="1"/>
    <xf numFmtId="165" fontId="28" fillId="2" borderId="7" xfId="1" applyNumberFormat="1" applyFont="1" applyFill="1" applyBorder="1"/>
    <xf numFmtId="165" fontId="29" fillId="0" borderId="7" xfId="1" applyNumberFormat="1" applyFont="1" applyFill="1" applyBorder="1"/>
    <xf numFmtId="165" fontId="28" fillId="0" borderId="4" xfId="1" applyNumberFormat="1" applyFont="1" applyBorder="1" applyAlignment="1">
      <alignment horizontal="right" vertical="top"/>
    </xf>
    <xf numFmtId="165" fontId="28" fillId="0" borderId="4" xfId="1" applyNumberFormat="1" applyFont="1" applyBorder="1" applyAlignment="1">
      <alignment horizontal="right"/>
    </xf>
    <xf numFmtId="165" fontId="28" fillId="0" borderId="5" xfId="1" applyNumberFormat="1" applyFont="1" applyFill="1" applyBorder="1"/>
    <xf numFmtId="165" fontId="28" fillId="0" borderId="7" xfId="1" applyNumberFormat="1" applyFont="1" applyFill="1" applyBorder="1"/>
    <xf numFmtId="165" fontId="33" fillId="0" borderId="1" xfId="1" applyNumberFormat="1" applyFont="1" applyBorder="1"/>
    <xf numFmtId="0" fontId="45" fillId="8" borderId="13" xfId="2264" applyFont="1" applyFill="1" applyBorder="1" applyAlignment="1" applyProtection="1">
      <alignment horizontal="center" vertical="center"/>
      <protection locked="0"/>
    </xf>
    <xf numFmtId="0" fontId="45" fillId="8" borderId="15" xfId="2264" applyFont="1" applyFill="1" applyBorder="1" applyAlignment="1" applyProtection="1">
      <alignment horizontal="center" vertical="center"/>
      <protection locked="0"/>
    </xf>
    <xf numFmtId="0" fontId="20" fillId="0" borderId="0" xfId="0" applyFont="1" applyBorder="1" applyAlignment="1">
      <alignment horizontal="left" wrapText="1"/>
    </xf>
    <xf numFmtId="0" fontId="20"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165" fontId="20" fillId="0" borderId="32" xfId="0" applyNumberFormat="1" applyFont="1" applyFill="1" applyBorder="1"/>
    <xf numFmtId="0" fontId="0" fillId="0" borderId="36" xfId="0" applyFont="1" applyBorder="1" applyAlignment="1">
      <alignment horizontal="right" wrapText="1"/>
    </xf>
    <xf numFmtId="0" fontId="20" fillId="0" borderId="0" xfId="2267" applyFont="1" applyBorder="1"/>
    <xf numFmtId="165" fontId="20" fillId="0" borderId="0" xfId="2267" applyNumberFormat="1" applyFont="1" applyBorder="1"/>
    <xf numFmtId="0" fontId="17" fillId="0" borderId="6" xfId="2267" applyFont="1" applyBorder="1"/>
    <xf numFmtId="0" fontId="17" fillId="0" borderId="6" xfId="2267" applyFont="1" applyBorder="1" applyAlignment="1">
      <alignment horizontal="right" wrapText="1"/>
    </xf>
    <xf numFmtId="0" fontId="20" fillId="0" borderId="17" xfId="2267" applyFont="1" applyBorder="1"/>
    <xf numFmtId="165" fontId="20" fillId="0" borderId="17" xfId="2267" applyNumberFormat="1" applyFont="1" applyBorder="1"/>
    <xf numFmtId="171" fontId="20" fillId="0" borderId="0" xfId="2267" applyNumberFormat="1" applyFont="1" applyFill="1" applyBorder="1"/>
    <xf numFmtId="3" fontId="0" fillId="0" borderId="0" xfId="2267" applyNumberFormat="1" applyFont="1" applyBorder="1"/>
    <xf numFmtId="171" fontId="17" fillId="0" borderId="0" xfId="2267" applyNumberFormat="1" applyFont="1" applyBorder="1"/>
    <xf numFmtId="3" fontId="17" fillId="0" borderId="0" xfId="2267" applyNumberFormat="1" applyFont="1" applyBorder="1"/>
    <xf numFmtId="3" fontId="20" fillId="0" borderId="0" xfId="2267" applyNumberFormat="1" applyFont="1" applyBorder="1"/>
    <xf numFmtId="171" fontId="20" fillId="0" borderId="17" xfId="2267" applyNumberFormat="1" applyFont="1" applyFill="1" applyBorder="1"/>
    <xf numFmtId="3" fontId="0" fillId="0" borderId="17" xfId="2267" applyNumberFormat="1" applyFont="1" applyBorder="1"/>
    <xf numFmtId="3" fontId="20" fillId="0" borderId="17" xfId="2267" applyNumberFormat="1" applyFont="1" applyBorder="1"/>
    <xf numFmtId="0" fontId="20" fillId="7" borderId="0" xfId="2267" applyFont="1" applyFill="1" applyBorder="1"/>
    <xf numFmtId="165" fontId="20" fillId="7" borderId="0" xfId="2267" applyNumberFormat="1" applyFont="1" applyFill="1" applyBorder="1"/>
    <xf numFmtId="171" fontId="20" fillId="7" borderId="0" xfId="2267" applyNumberFormat="1" applyFont="1" applyFill="1" applyBorder="1"/>
    <xf numFmtId="3" fontId="0" fillId="7" borderId="0" xfId="2267" applyNumberFormat="1" applyFont="1" applyFill="1" applyBorder="1"/>
    <xf numFmtId="3" fontId="20" fillId="7" borderId="0" xfId="2267" applyNumberFormat="1" applyFont="1" applyFill="1" applyBorder="1"/>
    <xf numFmtId="0" fontId="13" fillId="7" borderId="0" xfId="2267" applyFont="1" applyFill="1" applyBorder="1" applyProtection="1">
      <protection locked="0"/>
    </xf>
    <xf numFmtId="0" fontId="13" fillId="0" borderId="0" xfId="2267" applyFont="1" applyBorder="1" applyProtection="1">
      <protection locked="0"/>
    </xf>
    <xf numFmtId="0" fontId="47" fillId="0" borderId="0" xfId="2267" applyNumberFormat="1" applyFont="1" applyFill="1" applyBorder="1" applyAlignment="1" applyProtection="1">
      <protection locked="0"/>
    </xf>
    <xf numFmtId="0" fontId="8" fillId="0" borderId="0" xfId="2267" applyFont="1" applyFill="1" applyBorder="1" applyProtection="1">
      <protection locked="0"/>
    </xf>
    <xf numFmtId="0" fontId="50" fillId="0" borderId="0" xfId="2267" applyNumberFormat="1" applyFont="1" applyFill="1" applyBorder="1" applyAlignment="1" applyProtection="1">
      <alignment horizontal="right"/>
      <protection locked="0"/>
    </xf>
    <xf numFmtId="0" fontId="50" fillId="0" borderId="17" xfId="2267" applyNumberFormat="1" applyFont="1" applyFill="1" applyBorder="1" applyAlignment="1" applyProtection="1">
      <alignment horizontal="right"/>
      <protection locked="0"/>
    </xf>
    <xf numFmtId="0" fontId="46" fillId="0" borderId="0" xfId="2267" applyNumberFormat="1" applyFont="1" applyFill="1" applyBorder="1" applyAlignment="1" applyProtection="1">
      <protection locked="0"/>
    </xf>
    <xf numFmtId="0" fontId="11" fillId="0" borderId="0" xfId="2267" applyFont="1" applyFill="1" applyBorder="1" applyAlignment="1">
      <alignment horizontal="right"/>
    </xf>
    <xf numFmtId="0" fontId="11" fillId="0" borderId="17" xfId="2267" applyFont="1" applyFill="1" applyBorder="1" applyAlignment="1">
      <alignment horizontal="right"/>
    </xf>
    <xf numFmtId="0" fontId="46" fillId="0" borderId="0" xfId="2267" applyNumberFormat="1" applyFont="1" applyFill="1" applyBorder="1" applyAlignment="1" applyProtection="1">
      <alignment horizontal="left"/>
      <protection locked="0"/>
    </xf>
    <xf numFmtId="0" fontId="47" fillId="0" borderId="0" xfId="2267" applyFont="1" applyFill="1" applyBorder="1" applyAlignment="1">
      <alignment horizontal="left"/>
    </xf>
    <xf numFmtId="0" fontId="50" fillId="0" borderId="0" xfId="2267" applyNumberFormat="1" applyFont="1" applyFill="1" applyBorder="1" applyAlignment="1" applyProtection="1">
      <alignment horizontal="right" wrapText="1"/>
      <protection locked="0"/>
    </xf>
    <xf numFmtId="0" fontId="46" fillId="0" borderId="0" xfId="2267" applyNumberFormat="1" applyFont="1" applyFill="1" applyBorder="1" applyAlignment="1" applyProtection="1">
      <alignment horizontal="right"/>
      <protection locked="0"/>
    </xf>
    <xf numFmtId="0" fontId="13" fillId="0" borderId="0" xfId="2267" applyNumberFormat="1" applyFont="1" applyFill="1" applyBorder="1" applyAlignment="1" applyProtection="1">
      <protection locked="0"/>
    </xf>
    <xf numFmtId="0" fontId="13" fillId="0" borderId="17" xfId="2267" applyNumberFormat="1" applyFont="1" applyFill="1" applyBorder="1" applyAlignment="1" applyProtection="1">
      <protection locked="0"/>
    </xf>
    <xf numFmtId="0" fontId="13" fillId="0" borderId="0" xfId="2267" applyFont="1" applyFill="1" applyBorder="1" applyProtection="1">
      <protection locked="0"/>
    </xf>
    <xf numFmtId="0" fontId="11" fillId="0" borderId="0" xfId="2267" applyFont="1" applyFill="1" applyBorder="1" applyAlignment="1" applyProtection="1">
      <alignment horizontal="right"/>
      <protection locked="0"/>
    </xf>
    <xf numFmtId="0" fontId="11" fillId="0" borderId="17" xfId="2267" applyFont="1" applyFill="1" applyBorder="1" applyAlignment="1" applyProtection="1">
      <alignment horizontal="right"/>
      <protection locked="0"/>
    </xf>
    <xf numFmtId="0" fontId="13" fillId="0" borderId="0" xfId="2267" applyFont="1" applyFill="1" applyBorder="1" applyAlignment="1" applyProtection="1">
      <alignment horizontal="left"/>
      <protection locked="0"/>
    </xf>
    <xf numFmtId="0" fontId="0" fillId="0" borderId="0" xfId="2267" applyFont="1" applyFill="1" applyBorder="1" applyAlignment="1" applyProtection="1">
      <alignment horizontal="right"/>
      <protection locked="0"/>
    </xf>
    <xf numFmtId="0" fontId="13" fillId="0" borderId="0" xfId="2267" applyFont="1" applyFill="1" applyBorder="1" applyProtection="1"/>
    <xf numFmtId="0" fontId="13" fillId="7" borderId="0" xfId="2267" applyNumberFormat="1" applyFont="1" applyFill="1" applyBorder="1" applyAlignment="1" applyProtection="1">
      <protection locked="0"/>
    </xf>
    <xf numFmtId="0" fontId="13" fillId="0" borderId="0" xfId="2267" applyNumberFormat="1" applyFont="1" applyFill="1" applyBorder="1" applyAlignment="1" applyProtection="1">
      <alignment horizontal="right"/>
      <protection locked="0"/>
    </xf>
    <xf numFmtId="0" fontId="13" fillId="7" borderId="6" xfId="2267" applyNumberFormat="1" applyFont="1" applyFill="1" applyBorder="1" applyAlignment="1" applyProtection="1">
      <protection locked="0"/>
    </xf>
    <xf numFmtId="0" fontId="8" fillId="0" borderId="0" xfId="2267" applyBorder="1"/>
    <xf numFmtId="0" fontId="17" fillId="0" borderId="4" xfId="2267" applyFont="1" applyBorder="1" applyProtection="1">
      <protection locked="0"/>
    </xf>
    <xf numFmtId="165" fontId="17" fillId="0" borderId="4" xfId="2267" applyNumberFormat="1" applyFont="1" applyBorder="1"/>
    <xf numFmtId="165" fontId="17" fillId="0" borderId="1" xfId="2267" applyNumberFormat="1" applyFont="1" applyFill="1" applyBorder="1"/>
    <xf numFmtId="165" fontId="17" fillId="0" borderId="0" xfId="2267" applyNumberFormat="1" applyFont="1" applyFill="1" applyBorder="1"/>
    <xf numFmtId="0" fontId="8" fillId="0" borderId="17" xfId="2267" applyFont="1" applyBorder="1" applyAlignment="1">
      <alignment horizontal="right"/>
    </xf>
    <xf numFmtId="0" fontId="42" fillId="0" borderId="37" xfId="2267" applyFont="1" applyFill="1" applyBorder="1" applyAlignment="1">
      <alignment horizontal="right" wrapText="1"/>
    </xf>
    <xf numFmtId="0" fontId="42" fillId="0" borderId="17" xfId="2267" applyFont="1" applyFill="1" applyBorder="1" applyAlignment="1">
      <alignment horizontal="right" wrapText="1"/>
    </xf>
    <xf numFmtId="0" fontId="35" fillId="12" borderId="0" xfId="2267" applyFont="1" applyFill="1" applyBorder="1"/>
    <xf numFmtId="0" fontId="8" fillId="12" borderId="0" xfId="2267" applyFill="1" applyBorder="1"/>
    <xf numFmtId="0" fontId="62" fillId="13" borderId="0" xfId="0" applyFont="1" applyFill="1" applyBorder="1" applyAlignment="1">
      <alignment horizontal="left" vertical="center"/>
    </xf>
    <xf numFmtId="0" fontId="20" fillId="12" borderId="0" xfId="0" applyFont="1" applyFill="1" applyBorder="1"/>
    <xf numFmtId="0" fontId="20" fillId="0" borderId="0" xfId="0" applyFont="1" applyFill="1" applyBorder="1" applyAlignment="1">
      <alignment horizontal="center"/>
    </xf>
    <xf numFmtId="0" fontId="26" fillId="0" borderId="6" xfId="0" applyFont="1" applyBorder="1"/>
    <xf numFmtId="0" fontId="17" fillId="0" borderId="6" xfId="0" applyFont="1" applyBorder="1" applyAlignment="1">
      <alignment horizontal="right" wrapText="1"/>
    </xf>
    <xf numFmtId="0" fontId="26" fillId="0" borderId="6" xfId="0" applyFont="1" applyBorder="1" applyAlignment="1">
      <alignment horizontal="right" wrapText="1"/>
    </xf>
    <xf numFmtId="0" fontId="35" fillId="12" borderId="0" xfId="0" applyNumberFormat="1" applyFont="1" applyFill="1" applyBorder="1" applyAlignment="1" applyProtection="1">
      <alignment vertical="center"/>
      <protection locked="0"/>
    </xf>
    <xf numFmtId="0" fontId="30" fillId="12" borderId="0" xfId="0" applyFont="1" applyFill="1" applyBorder="1"/>
    <xf numFmtId="0" fontId="30" fillId="12" borderId="0" xfId="0" applyFont="1" applyFill="1" applyBorder="1" applyAlignment="1">
      <alignment wrapText="1"/>
    </xf>
    <xf numFmtId="166" fontId="30" fillId="12" borderId="0" xfId="0" applyNumberFormat="1" applyFont="1" applyFill="1" applyBorder="1"/>
    <xf numFmtId="1" fontId="35" fillId="12" borderId="0" xfId="0" applyNumberFormat="1" applyFont="1" applyFill="1" applyBorder="1" applyAlignment="1">
      <alignment horizontal="right"/>
    </xf>
    <xf numFmtId="166" fontId="35" fillId="12" borderId="0" xfId="0" applyNumberFormat="1" applyFont="1" applyFill="1" applyBorder="1" applyAlignment="1">
      <alignment horizontal="right"/>
    </xf>
    <xf numFmtId="0" fontId="20" fillId="0" borderId="0" xfId="0" applyFont="1" applyBorder="1" applyAlignment="1">
      <alignment wrapText="1"/>
    </xf>
    <xf numFmtId="0" fontId="17" fillId="0" borderId="6" xfId="0" applyFont="1" applyBorder="1"/>
    <xf numFmtId="0" fontId="17" fillId="0" borderId="6" xfId="0" applyFont="1" applyBorder="1" applyAlignment="1">
      <alignment horizontal="left"/>
    </xf>
    <xf numFmtId="166" fontId="17" fillId="0" borderId="6" xfId="0" applyNumberFormat="1" applyFont="1" applyBorder="1" applyAlignment="1">
      <alignment horizontal="right" wrapText="1"/>
    </xf>
    <xf numFmtId="0" fontId="0" fillId="0" borderId="0" xfId="0" applyFont="1" applyBorder="1" applyAlignment="1">
      <alignment vertical="top" wrapText="1"/>
    </xf>
    <xf numFmtId="0" fontId="0" fillId="7" borderId="0" xfId="0" applyFont="1" applyFill="1" applyBorder="1"/>
    <xf numFmtId="166" fontId="20" fillId="7" borderId="0" xfId="0" applyNumberFormat="1" applyFont="1" applyFill="1" applyBorder="1"/>
    <xf numFmtId="0" fontId="20" fillId="7" borderId="0" xfId="0" applyFont="1" applyFill="1" applyBorder="1"/>
    <xf numFmtId="0" fontId="20" fillId="7" borderId="0" xfId="0" applyFont="1" applyFill="1" applyBorder="1" applyAlignment="1">
      <alignment horizontal="left"/>
    </xf>
    <xf numFmtId="165" fontId="17" fillId="7" borderId="0" xfId="0" applyNumberFormat="1" applyFont="1" applyFill="1" applyBorder="1"/>
    <xf numFmtId="166" fontId="0" fillId="0" borderId="0" xfId="0" applyNumberFormat="1" applyFont="1" applyFill="1" applyBorder="1"/>
    <xf numFmtId="0" fontId="0" fillId="0" borderId="0" xfId="0" applyFont="1" applyBorder="1" applyAlignment="1">
      <alignment wrapText="1"/>
    </xf>
    <xf numFmtId="0" fontId="20" fillId="7" borderId="0" xfId="0" applyFont="1" applyFill="1" applyBorder="1" applyAlignment="1">
      <alignment vertical="top" wrapText="1"/>
    </xf>
    <xf numFmtId="0" fontId="20" fillId="7" borderId="0" xfId="0" applyFont="1" applyFill="1" applyBorder="1" applyAlignment="1">
      <alignment vertical="top"/>
    </xf>
    <xf numFmtId="166" fontId="13" fillId="0" borderId="0" xfId="0" applyNumberFormat="1" applyFont="1" applyFill="1" applyBorder="1"/>
    <xf numFmtId="166" fontId="17" fillId="0" borderId="0" xfId="0" applyNumberFormat="1" applyFont="1" applyFill="1" applyBorder="1"/>
    <xf numFmtId="165" fontId="17" fillId="7" borderId="0" xfId="0" applyNumberFormat="1" applyFont="1" applyFill="1" applyBorder="1" applyProtection="1">
      <protection locked="0"/>
    </xf>
    <xf numFmtId="0" fontId="20" fillId="7" borderId="17" xfId="0" applyFont="1" applyFill="1" applyBorder="1"/>
    <xf numFmtId="0" fontId="20" fillId="7" borderId="17" xfId="0" applyFont="1" applyFill="1" applyBorder="1" applyAlignment="1">
      <alignment horizontal="left"/>
    </xf>
    <xf numFmtId="166" fontId="20" fillId="7" borderId="17" xfId="0" applyNumberFormat="1" applyFont="1" applyFill="1" applyBorder="1"/>
    <xf numFmtId="165" fontId="17" fillId="7" borderId="17" xfId="0" applyNumberFormat="1" applyFont="1" applyFill="1" applyBorder="1"/>
    <xf numFmtId="0" fontId="35" fillId="12" borderId="0" xfId="0" applyFont="1" applyFill="1" applyBorder="1" applyAlignment="1">
      <alignment vertical="center"/>
    </xf>
    <xf numFmtId="0" fontId="9" fillId="12" borderId="0" xfId="0" applyFont="1" applyFill="1" applyBorder="1" applyAlignment="1">
      <alignment vertical="center"/>
    </xf>
    <xf numFmtId="0" fontId="20" fillId="0" borderId="0" xfId="0" applyFont="1" applyBorder="1" applyAlignment="1">
      <alignment vertical="top"/>
    </xf>
    <xf numFmtId="166" fontId="14" fillId="0" borderId="0" xfId="0" applyNumberFormat="1" applyFont="1" applyFill="1" applyBorder="1" applyAlignment="1">
      <alignment horizontal="left"/>
    </xf>
    <xf numFmtId="166" fontId="14" fillId="0" borderId="0" xfId="0" applyNumberFormat="1" applyFont="1" applyFill="1" applyBorder="1" applyAlignment="1">
      <alignment horizontal="center"/>
    </xf>
    <xf numFmtId="0" fontId="20" fillId="0" borderId="0" xfId="0" applyNumberFormat="1" applyFont="1" applyBorder="1" applyAlignment="1">
      <alignment vertical="top"/>
    </xf>
    <xf numFmtId="0" fontId="20" fillId="0" borderId="0" xfId="0" applyFont="1" applyBorder="1" applyAlignment="1">
      <alignment horizontal="left" vertical="top"/>
    </xf>
    <xf numFmtId="0" fontId="17" fillId="0" borderId="6" xfId="0" applyFont="1" applyFill="1" applyBorder="1" applyAlignment="1" applyProtection="1">
      <alignment wrapText="1"/>
      <protection locked="0"/>
    </xf>
    <xf numFmtId="0" fontId="17" fillId="0" borderId="6" xfId="0" applyFont="1" applyFill="1" applyBorder="1" applyAlignment="1">
      <alignment horizontal="right" wrapText="1"/>
    </xf>
    <xf numFmtId="0" fontId="17" fillId="0" borderId="0" xfId="0" applyFont="1" applyFill="1" applyBorder="1" applyAlignment="1"/>
    <xf numFmtId="0" fontId="17" fillId="0" borderId="0" xfId="0" applyFont="1" applyFill="1" applyBorder="1" applyAlignment="1">
      <alignment horizontal="right" vertical="top"/>
    </xf>
    <xf numFmtId="0" fontId="17" fillId="0" borderId="0" xfId="0" applyFont="1" applyBorder="1" applyAlignment="1">
      <alignment wrapText="1"/>
    </xf>
    <xf numFmtId="165" fontId="31" fillId="0" borderId="0" xfId="0" applyNumberFormat="1" applyFont="1" applyFill="1" applyBorder="1"/>
    <xf numFmtId="0" fontId="14" fillId="7" borderId="0" xfId="0" applyFont="1" applyFill="1" applyBorder="1" applyAlignment="1">
      <alignment vertical="top"/>
    </xf>
    <xf numFmtId="0" fontId="14" fillId="0" borderId="0" xfId="0" applyFont="1" applyFill="1" applyBorder="1" applyAlignment="1">
      <alignment vertical="top"/>
    </xf>
    <xf numFmtId="0" fontId="20" fillId="7" borderId="0" xfId="0" applyFont="1" applyFill="1" applyBorder="1" applyAlignment="1">
      <alignment wrapText="1"/>
    </xf>
    <xf numFmtId="165" fontId="17" fillId="7" borderId="0" xfId="0" applyNumberFormat="1" applyFont="1" applyFill="1" applyBorder="1" applyAlignment="1">
      <alignment vertical="top"/>
    </xf>
    <xf numFmtId="166" fontId="14" fillId="7" borderId="0" xfId="0" applyNumberFormat="1" applyFont="1" applyFill="1" applyBorder="1" applyAlignment="1">
      <alignment horizontal="left"/>
    </xf>
    <xf numFmtId="0" fontId="14" fillId="7" borderId="0" xfId="0" applyFont="1" applyFill="1" applyBorder="1" applyAlignment="1"/>
    <xf numFmtId="168" fontId="14" fillId="7" borderId="0" xfId="0" applyNumberFormat="1" applyFont="1" applyFill="1" applyBorder="1" applyAlignment="1"/>
    <xf numFmtId="165" fontId="20" fillId="7" borderId="0" xfId="0" applyNumberFormat="1" applyFont="1" applyFill="1" applyBorder="1" applyAlignment="1">
      <alignment horizontal="center"/>
    </xf>
    <xf numFmtId="0" fontId="20" fillId="7" borderId="0" xfId="0" applyNumberFormat="1" applyFont="1" applyFill="1" applyBorder="1"/>
    <xf numFmtId="165" fontId="20" fillId="7" borderId="0" xfId="0" applyNumberFormat="1" applyFont="1" applyFill="1" applyBorder="1"/>
    <xf numFmtId="0" fontId="14" fillId="0" borderId="0" xfId="0" applyFont="1" applyFill="1" applyBorder="1" applyAlignment="1">
      <alignment wrapText="1"/>
    </xf>
    <xf numFmtId="1" fontId="17" fillId="0" borderId="0" xfId="0" applyNumberFormat="1" applyFont="1" applyFill="1" applyBorder="1" applyAlignment="1">
      <alignment horizontal="center"/>
    </xf>
    <xf numFmtId="0" fontId="14" fillId="7" borderId="0" xfId="0" applyFont="1" applyFill="1" applyBorder="1"/>
    <xf numFmtId="0" fontId="26" fillId="0" borderId="17" xfId="0" applyFont="1" applyBorder="1" applyAlignment="1">
      <alignment wrapText="1"/>
    </xf>
    <xf numFmtId="1" fontId="27" fillId="7" borderId="0" xfId="0" applyNumberFormat="1" applyFont="1" applyFill="1" applyBorder="1"/>
    <xf numFmtId="8" fontId="20" fillId="7" borderId="0" xfId="0" applyNumberFormat="1" applyFont="1" applyFill="1" applyBorder="1"/>
    <xf numFmtId="1" fontId="27" fillId="0" borderId="17" xfId="0" applyNumberFormat="1" applyFont="1" applyBorder="1"/>
    <xf numFmtId="8" fontId="20" fillId="0" borderId="17" xfId="0" applyNumberFormat="1" applyFont="1" applyFill="1" applyBorder="1"/>
    <xf numFmtId="0" fontId="14" fillId="0" borderId="17" xfId="0" applyFont="1" applyFill="1" applyBorder="1" applyAlignment="1">
      <alignment wrapText="1"/>
    </xf>
    <xf numFmtId="0" fontId="20" fillId="0" borderId="0" xfId="0" applyFont="1" applyBorder="1" applyAlignment="1"/>
    <xf numFmtId="166" fontId="17" fillId="0" borderId="6" xfId="0" applyNumberFormat="1" applyFont="1" applyFill="1" applyBorder="1" applyAlignment="1">
      <alignment horizontal="right" wrapText="1"/>
    </xf>
    <xf numFmtId="0" fontId="20" fillId="7" borderId="0" xfId="0" applyFont="1" applyFill="1" applyBorder="1" applyAlignment="1"/>
    <xf numFmtId="0" fontId="17" fillId="0" borderId="0" xfId="2" applyFont="1" applyBorder="1" applyAlignment="1">
      <alignment horizontal="right"/>
    </xf>
    <xf numFmtId="0" fontId="17" fillId="0" borderId="0" xfId="2" applyFont="1" applyBorder="1" applyAlignment="1">
      <alignment horizontal="right" wrapText="1"/>
    </xf>
    <xf numFmtId="2" fontId="20" fillId="0" borderId="0" xfId="2" applyNumberFormat="1" applyFont="1" applyFill="1" applyBorder="1"/>
    <xf numFmtId="1" fontId="20" fillId="0" borderId="0" xfId="2" applyNumberFormat="1" applyFont="1" applyBorder="1"/>
    <xf numFmtId="0" fontId="17" fillId="0" borderId="6" xfId="2" applyFont="1" applyBorder="1" applyAlignment="1">
      <alignment wrapText="1"/>
    </xf>
    <xf numFmtId="0" fontId="27" fillId="0" borderId="6" xfId="2" applyFont="1" applyBorder="1" applyAlignment="1">
      <alignment horizontal="right" wrapText="1"/>
    </xf>
    <xf numFmtId="0" fontId="20" fillId="0" borderId="6" xfId="2" applyFont="1" applyBorder="1" applyAlignment="1">
      <alignment horizontal="right" wrapText="1"/>
    </xf>
    <xf numFmtId="2" fontId="20" fillId="0" borderId="17" xfId="2" applyNumberFormat="1" applyFont="1" applyFill="1" applyBorder="1"/>
    <xf numFmtId="1" fontId="20" fillId="0" borderId="17" xfId="2" applyNumberFormat="1" applyFont="1" applyBorder="1"/>
    <xf numFmtId="0" fontId="0" fillId="0" borderId="17" xfId="2" applyFont="1" applyBorder="1"/>
    <xf numFmtId="165" fontId="2" fillId="0" borderId="0" xfId="1" applyNumberFormat="1" applyFont="1" applyFill="1" applyBorder="1" applyAlignment="1">
      <alignment horizontal="left"/>
    </xf>
    <xf numFmtId="165" fontId="28" fillId="0" borderId="6" xfId="1" applyNumberFormat="1" applyFont="1" applyBorder="1"/>
    <xf numFmtId="3" fontId="20" fillId="0" borderId="0" xfId="0" applyNumberFormat="1" applyFont="1" applyBorder="1"/>
    <xf numFmtId="1" fontId="43" fillId="0" borderId="14" xfId="1" applyNumberFormat="1" applyFont="1" applyFill="1" applyBorder="1" applyAlignment="1"/>
    <xf numFmtId="0" fontId="0" fillId="0" borderId="0" xfId="0" applyFont="1" applyFill="1" applyBorder="1" applyAlignment="1">
      <alignment horizontal="left" vertical="top" wrapText="1"/>
    </xf>
    <xf numFmtId="0" fontId="45" fillId="8" borderId="13" xfId="2264" applyFont="1" applyFill="1" applyBorder="1" applyAlignment="1" applyProtection="1">
      <alignment horizontal="center" vertical="center"/>
      <protection locked="0"/>
    </xf>
    <xf numFmtId="0" fontId="45" fillId="8" borderId="15" xfId="2264" applyFont="1" applyFill="1" applyBorder="1" applyAlignment="1" applyProtection="1">
      <alignment horizontal="center" vertical="center"/>
      <protection locked="0"/>
    </xf>
    <xf numFmtId="0" fontId="35" fillId="12" borderId="0" xfId="2267"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14" fillId="0" borderId="2" xfId="0" applyNumberFormat="1" applyFont="1" applyFill="1" applyBorder="1" applyAlignment="1" applyProtection="1">
      <alignment horizontal="left" vertical="top" wrapText="1"/>
      <protection locked="0"/>
    </xf>
    <xf numFmtId="0" fontId="14" fillId="0" borderId="8" xfId="0" applyNumberFormat="1" applyFont="1" applyFill="1" applyBorder="1" applyAlignment="1" applyProtection="1">
      <alignment horizontal="left" vertical="top" wrapText="1"/>
      <protection locked="0"/>
    </xf>
    <xf numFmtId="0" fontId="14" fillId="0" borderId="3" xfId="0" applyNumberFormat="1" applyFont="1" applyFill="1" applyBorder="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0" fontId="14" fillId="0" borderId="6" xfId="0" applyNumberFormat="1" applyFont="1" applyFill="1" applyBorder="1" applyAlignment="1" applyProtection="1">
      <alignment horizontal="left" vertical="top" wrapText="1"/>
      <protection locked="0"/>
    </xf>
    <xf numFmtId="0" fontId="14" fillId="0" borderId="7" xfId="0" applyNumberFormat="1" applyFont="1" applyFill="1" applyBorder="1" applyAlignment="1" applyProtection="1">
      <alignment horizontal="left" vertical="top" wrapText="1"/>
      <protection locked="0"/>
    </xf>
    <xf numFmtId="0" fontId="20" fillId="7" borderId="0" xfId="0" applyFont="1" applyFill="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center" wrapText="1"/>
    </xf>
    <xf numFmtId="0" fontId="17" fillId="0" borderId="6" xfId="0" applyFont="1" applyBorder="1" applyAlignment="1">
      <alignment horizontal="left" wrapText="1"/>
    </xf>
    <xf numFmtId="0" fontId="17" fillId="0" borderId="8" xfId="0" applyFont="1" applyFill="1" applyBorder="1" applyAlignment="1">
      <alignment horizontal="center" wrapText="1"/>
    </xf>
    <xf numFmtId="0" fontId="28" fillId="7" borderId="0" xfId="1" applyFont="1" applyFill="1" applyBorder="1" applyAlignment="1">
      <alignment horizontal="left" wrapText="1"/>
    </xf>
    <xf numFmtId="0" fontId="20" fillId="0" borderId="0" xfId="0" applyFont="1" applyBorder="1" applyAlignment="1">
      <alignment horizontal="left" vertical="top" wrapText="1"/>
    </xf>
    <xf numFmtId="0" fontId="28" fillId="0" borderId="10" xfId="1" applyFont="1" applyBorder="1" applyAlignment="1">
      <alignment horizontal="left" vertical="top" wrapText="1"/>
    </xf>
    <xf numFmtId="0" fontId="20" fillId="0" borderId="0" xfId="0" applyFont="1" applyFill="1" applyBorder="1" applyAlignment="1">
      <alignment horizontal="left" wrapText="1"/>
    </xf>
    <xf numFmtId="0" fontId="17" fillId="0" borderId="0" xfId="0" applyFont="1" applyFill="1" applyBorder="1" applyAlignment="1">
      <alignment horizontal="center" wrapText="1"/>
    </xf>
    <xf numFmtId="0" fontId="2" fillId="0" borderId="10" xfId="1" applyFont="1" applyBorder="1" applyAlignment="1">
      <alignment horizontal="left" vertical="top" wrapText="1"/>
    </xf>
    <xf numFmtId="0" fontId="31" fillId="0" borderId="0" xfId="1" applyFont="1" applyFill="1" applyAlignment="1">
      <alignment horizontal="center" textRotation="90" wrapText="1"/>
    </xf>
    <xf numFmtId="0" fontId="20" fillId="7" borderId="17" xfId="0" applyFont="1" applyFill="1" applyBorder="1" applyAlignment="1">
      <alignment horizontal="left" wrapText="1"/>
    </xf>
    <xf numFmtId="1" fontId="14" fillId="0" borderId="0" xfId="0" applyNumberFormat="1" applyFont="1" applyFill="1" applyBorder="1" applyAlignment="1">
      <alignment horizontal="left"/>
    </xf>
    <xf numFmtId="1" fontId="14" fillId="0" borderId="4" xfId="0" applyNumberFormat="1" applyFont="1" applyFill="1" applyBorder="1" applyAlignment="1">
      <alignment horizontal="left"/>
    </xf>
    <xf numFmtId="0" fontId="14" fillId="0" borderId="16"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3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 xfId="0" applyFont="1" applyFill="1" applyBorder="1" applyAlignment="1">
      <alignment horizontal="left" vertical="top" wrapText="1"/>
    </xf>
    <xf numFmtId="0" fontId="14" fillId="0" borderId="4" xfId="0" applyFont="1" applyFill="1" applyBorder="1" applyAlignment="1">
      <alignment horizontal="left" vertical="top"/>
    </xf>
    <xf numFmtId="0" fontId="14" fillId="0" borderId="0" xfId="0" applyFont="1" applyFill="1" applyBorder="1" applyAlignment="1">
      <alignment horizontal="left" vertical="top"/>
    </xf>
    <xf numFmtId="0" fontId="17" fillId="0" borderId="17" xfId="0" applyFont="1" applyFill="1" applyBorder="1" applyAlignment="1">
      <alignment horizontal="right" wrapText="1"/>
    </xf>
    <xf numFmtId="0" fontId="17" fillId="0" borderId="17" xfId="0" applyFont="1" applyFill="1" applyBorder="1" applyAlignment="1">
      <alignment horizontal="left" wrapText="1"/>
    </xf>
    <xf numFmtId="0" fontId="14" fillId="0" borderId="0" xfId="0" applyFont="1" applyFill="1" applyBorder="1" applyAlignment="1">
      <alignment horizontal="left" wrapText="1"/>
    </xf>
    <xf numFmtId="0" fontId="14" fillId="0" borderId="4" xfId="0" applyFont="1" applyFill="1" applyBorder="1" applyAlignment="1">
      <alignment horizontal="left" wrapText="1"/>
    </xf>
    <xf numFmtId="0" fontId="20" fillId="0" borderId="27" xfId="0" applyFont="1" applyFill="1" applyBorder="1" applyAlignment="1">
      <alignment horizontal="left" vertical="top" wrapText="1"/>
    </xf>
    <xf numFmtId="165" fontId="12" fillId="0" borderId="0" xfId="0" applyNumberFormat="1" applyFont="1" applyFill="1" applyBorder="1" applyAlignment="1">
      <alignment horizontal="right"/>
    </xf>
    <xf numFmtId="1" fontId="14" fillId="0" borderId="0" xfId="0" applyNumberFormat="1" applyFont="1" applyFill="1" applyBorder="1" applyAlignment="1">
      <alignment horizontal="left" vertical="top" wrapText="1"/>
    </xf>
    <xf numFmtId="1" fontId="14" fillId="0" borderId="0" xfId="0" applyNumberFormat="1" applyFont="1" applyFill="1" applyBorder="1" applyAlignment="1">
      <alignment horizontal="left" wrapText="1"/>
    </xf>
    <xf numFmtId="1" fontId="14" fillId="7" borderId="0" xfId="0" applyNumberFormat="1" applyFont="1" applyFill="1" applyBorder="1" applyAlignment="1">
      <alignment horizontal="left"/>
    </xf>
    <xf numFmtId="0" fontId="14" fillId="7"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6" xfId="0" applyFont="1" applyFill="1" applyBorder="1" applyAlignment="1">
      <alignment horizontal="left" vertical="top" wrapText="1"/>
    </xf>
    <xf numFmtId="0" fontId="17" fillId="0" borderId="19" xfId="0" applyFont="1" applyFill="1" applyBorder="1" applyAlignment="1">
      <alignment horizontal="left" wrapText="1"/>
    </xf>
    <xf numFmtId="0" fontId="17" fillId="0" borderId="6" xfId="0" applyFont="1" applyFill="1" applyBorder="1" applyAlignment="1">
      <alignment horizontal="left" wrapText="1"/>
    </xf>
    <xf numFmtId="0" fontId="20" fillId="0" borderId="1" xfId="0" applyFont="1" applyFill="1" applyBorder="1" applyAlignment="1">
      <alignment horizontal="left" vertical="top" wrapText="1"/>
    </xf>
    <xf numFmtId="0" fontId="20" fillId="0" borderId="0" xfId="0" applyFont="1" applyFill="1" applyBorder="1" applyAlignment="1">
      <alignment horizontal="left" vertical="top" wrapText="1"/>
    </xf>
    <xf numFmtId="0" fontId="12" fillId="0" borderId="0" xfId="0" applyFont="1" applyFill="1" applyBorder="1" applyAlignment="1">
      <alignment horizontal="right"/>
    </xf>
    <xf numFmtId="0" fontId="17" fillId="0" borderId="24" xfId="0" applyFont="1" applyFill="1" applyBorder="1" applyAlignment="1">
      <alignment horizontal="left" wrapText="1"/>
    </xf>
    <xf numFmtId="0" fontId="17" fillId="0" borderId="23" xfId="0" applyFont="1" applyFill="1" applyBorder="1" applyAlignment="1">
      <alignment horizontal="left" wrapText="1"/>
    </xf>
    <xf numFmtId="0" fontId="14" fillId="0" borderId="34" xfId="0" applyFont="1" applyBorder="1" applyAlignment="1">
      <alignment horizontal="left" vertical="top" wrapText="1"/>
    </xf>
    <xf numFmtId="0" fontId="14" fillId="0" borderId="16" xfId="0" applyFont="1" applyBorder="1" applyAlignment="1">
      <alignment horizontal="left" vertical="top" wrapText="1"/>
    </xf>
    <xf numFmtId="0" fontId="14" fillId="0" borderId="21" xfId="0" applyFont="1" applyBorder="1" applyAlignment="1">
      <alignment horizontal="left" vertical="top" wrapText="1"/>
    </xf>
    <xf numFmtId="0" fontId="14" fillId="0" borderId="32" xfId="0" applyFont="1" applyBorder="1" applyAlignment="1">
      <alignment horizontal="left" vertical="top" wrapText="1"/>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0" fillId="0" borderId="0" xfId="0" applyFont="1" applyFill="1" applyAlignment="1">
      <alignment horizontal="left" vertical="top" wrapText="1"/>
    </xf>
    <xf numFmtId="0" fontId="45" fillId="8" borderId="14" xfId="2264" applyFont="1" applyFill="1" applyBorder="1" applyAlignment="1" applyProtection="1">
      <alignment horizontal="center" vertical="center"/>
      <protection locked="0"/>
    </xf>
    <xf numFmtId="0" fontId="14" fillId="0" borderId="0" xfId="2" applyFont="1" applyBorder="1" applyAlignment="1">
      <alignment horizontal="left" vertical="top" wrapText="1"/>
    </xf>
    <xf numFmtId="0" fontId="0" fillId="0" borderId="0" xfId="2" applyFont="1" applyBorder="1" applyAlignment="1">
      <alignment horizontal="left" vertical="top" wrapText="1"/>
    </xf>
    <xf numFmtId="0" fontId="35" fillId="12" borderId="0" xfId="2" applyFont="1" applyFill="1" applyBorder="1" applyAlignment="1">
      <alignment horizontal="left" vertical="center"/>
    </xf>
    <xf numFmtId="0" fontId="0" fillId="0" borderId="0" xfId="2" applyFont="1" applyFill="1" applyAlignment="1">
      <alignment horizontal="left" vertical="top" wrapText="1"/>
    </xf>
    <xf numFmtId="0" fontId="20" fillId="0" borderId="0" xfId="2" applyFont="1" applyFill="1" applyAlignment="1">
      <alignment horizontal="left" vertical="top" wrapText="1"/>
    </xf>
    <xf numFmtId="0" fontId="0" fillId="0" borderId="0" xfId="2" applyNumberFormat="1" applyFont="1" applyFill="1" applyBorder="1" applyAlignment="1" applyProtection="1">
      <alignment horizontal="left" vertical="top" wrapText="1"/>
      <protection locked="0"/>
    </xf>
    <xf numFmtId="0" fontId="0" fillId="0" borderId="17" xfId="2" applyNumberFormat="1" applyFont="1" applyFill="1" applyBorder="1" applyAlignment="1" applyProtection="1">
      <alignment horizontal="left" vertical="top" wrapText="1"/>
      <protection locked="0"/>
    </xf>
    <xf numFmtId="0" fontId="20" fillId="0" borderId="0" xfId="2" applyNumberFormat="1" applyFont="1" applyFill="1" applyBorder="1" applyAlignment="1" applyProtection="1">
      <alignment horizontal="left" vertical="top" wrapText="1"/>
      <protection locked="0"/>
    </xf>
    <xf numFmtId="0" fontId="14" fillId="0" borderId="16"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4" fillId="0" borderId="17" xfId="2"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locked="0"/>
    </xf>
    <xf numFmtId="165" fontId="14" fillId="0" borderId="0" xfId="2" applyNumberFormat="1" applyFont="1" applyFill="1" applyBorder="1" applyAlignment="1" applyProtection="1">
      <alignment horizontal="left" vertical="top" wrapText="1"/>
      <protection locked="0"/>
    </xf>
    <xf numFmtId="165" fontId="14" fillId="0" borderId="17" xfId="2"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7" xfId="0" applyFont="1" applyFill="1" applyBorder="1" applyAlignment="1" applyProtection="1">
      <alignment horizontal="left" vertical="top" wrapText="1"/>
      <protection locked="0"/>
    </xf>
    <xf numFmtId="0" fontId="63" fillId="0" borderId="0" xfId="0" applyFont="1" applyFill="1" applyBorder="1" applyAlignment="1">
      <alignment horizontal="left" vertical="center"/>
    </xf>
    <xf numFmtId="0" fontId="64" fillId="0" borderId="0" xfId="2264" applyFont="1" applyFill="1" applyBorder="1" applyAlignment="1"/>
  </cellXfs>
  <cellStyles count="2995">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cellStyle name="Normal" xfId="0" builtinId="0" customBuiltin="1"/>
    <cellStyle name="Normal 2" xfId="1"/>
    <cellStyle name="Normal 2 2" xfId="2"/>
    <cellStyle name="Normal 2 2 2" xfId="2267"/>
    <cellStyle name="Normal 2 3" xfId="2265"/>
    <cellStyle name="Normal 2 3 2" xfId="2272"/>
    <cellStyle name="Normal 2 3 3" xfId="2411"/>
    <cellStyle name="Normal 3" xfId="2409"/>
    <cellStyle name="Percent 2" xfId="2266"/>
    <cellStyle name="Percent 2 2" xfId="2869"/>
    <cellStyle name="Percent 3" xfId="241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theme" Target="theme/theme1.xml"/><Relationship Id="rId43" Type="http://schemas.openxmlformats.org/officeDocument/2006/relationships/styles" Target="styles.xml"/><Relationship Id="rId44" Type="http://schemas.openxmlformats.org/officeDocument/2006/relationships/sharedStrings" Target="sharedStrings.xml"/><Relationship Id="rId4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253999</xdr:colOff>
      <xdr:row>0</xdr:row>
      <xdr:rowOff>76200</xdr:rowOff>
    </xdr:from>
    <xdr:to>
      <xdr:col>3</xdr:col>
      <xdr:colOff>558800</xdr:colOff>
      <xdr:row>5</xdr:row>
      <xdr:rowOff>190500</xdr:rowOff>
    </xdr:to>
    <xdr:pic>
      <xdr:nvPicPr>
        <xdr:cNvPr id="14" name="Picture 13"/>
        <xdr:cNvPicPr>
          <a:picLocks noChangeAspect="1"/>
        </xdr:cNvPicPr>
      </xdr:nvPicPr>
      <xdr:blipFill rotWithShape="1">
        <a:blip xmlns:r="http://schemas.openxmlformats.org/officeDocument/2006/relationships" r:embed="rId1"/>
        <a:srcRect l="15267" t="11165" r="4580" b="27433"/>
        <a:stretch/>
      </xdr:blipFill>
      <xdr:spPr>
        <a:xfrm>
          <a:off x="253999" y="76200"/>
          <a:ext cx="2667001" cy="12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253999</xdr:colOff>
      <xdr:row>0</xdr:row>
      <xdr:rowOff>76200</xdr:rowOff>
    </xdr:from>
    <xdr:to>
      <xdr:col>3</xdr:col>
      <xdr:colOff>558800</xdr:colOff>
      <xdr:row>5</xdr:row>
      <xdr:rowOff>190500</xdr:rowOff>
    </xdr:to>
    <xdr:pic>
      <xdr:nvPicPr>
        <xdr:cNvPr id="2" name="Picture 1"/>
        <xdr:cNvPicPr>
          <a:picLocks noChangeAspect="1"/>
        </xdr:cNvPicPr>
      </xdr:nvPicPr>
      <xdr:blipFill rotWithShape="1">
        <a:blip xmlns:r="http://schemas.openxmlformats.org/officeDocument/2006/relationships" r:embed="rId1"/>
        <a:srcRect l="15267" t="11165" r="4580" b="27433"/>
        <a:stretch/>
      </xdr:blipFill>
      <xdr:spPr>
        <a:xfrm>
          <a:off x="253999" y="76200"/>
          <a:ext cx="2667001" cy="125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ky.edu/ccd/tools/budgets/UKCSAEconomicAnalysi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61"/>
  <sheetViews>
    <sheetView showGridLines="0" tabSelected="1" workbookViewId="0">
      <selection activeCell="B8" sqref="B8:M8"/>
    </sheetView>
  </sheetViews>
  <sheetFormatPr baseColWidth="10" defaultColWidth="5.28515625" defaultRowHeight="15" x14ac:dyDescent="0"/>
  <cols>
    <col min="1" max="1" width="2.85546875" style="5" customWidth="1"/>
    <col min="2" max="4" width="11.85546875" style="5" customWidth="1"/>
    <col min="5" max="10" width="10.7109375" style="5"/>
    <col min="11" max="15" width="10.7109375" style="5" customWidth="1"/>
    <col min="16" max="16384" width="5.28515625" style="5"/>
  </cols>
  <sheetData>
    <row r="1" spans="2:10" ht="18">
      <c r="C1" s="876"/>
      <c r="D1" s="876"/>
      <c r="E1" s="876"/>
      <c r="F1" s="876"/>
      <c r="G1" s="876"/>
      <c r="H1" s="876"/>
      <c r="I1" s="876"/>
    </row>
    <row r="2" spans="2:10" ht="18">
      <c r="D2" s="876"/>
      <c r="E2" s="1076" t="s">
        <v>722</v>
      </c>
      <c r="F2" s="876"/>
      <c r="G2" s="876"/>
      <c r="H2" s="876"/>
      <c r="I2" s="876"/>
    </row>
    <row r="3" spans="2:10" ht="18">
      <c r="B3" s="1037"/>
      <c r="D3" s="876"/>
      <c r="E3" s="1076" t="s">
        <v>745</v>
      </c>
      <c r="F3" s="876"/>
      <c r="G3" s="876"/>
      <c r="H3" s="876"/>
      <c r="I3" s="876"/>
    </row>
    <row r="4" spans="2:10" ht="18">
      <c r="D4" s="876"/>
      <c r="E4" s="1076" t="s">
        <v>887</v>
      </c>
      <c r="F4" s="876"/>
      <c r="G4" s="876"/>
      <c r="H4" s="876"/>
      <c r="I4" s="876"/>
    </row>
    <row r="5" spans="2:10" ht="18">
      <c r="D5" s="1035"/>
      <c r="F5" s="1036"/>
      <c r="G5" s="1036"/>
      <c r="H5" s="1036"/>
      <c r="I5" s="1036"/>
    </row>
    <row r="6" spans="2:10" ht="17" customHeight="1">
      <c r="C6" s="1035"/>
      <c r="D6" s="1035"/>
      <c r="G6" s="1036"/>
      <c r="H6" s="1036"/>
      <c r="I6" s="1036"/>
    </row>
    <row r="7" spans="2:10" ht="17" customHeight="1">
      <c r="C7" s="1035"/>
      <c r="D7" s="1035"/>
      <c r="F7" s="1077"/>
      <c r="G7" s="1036"/>
      <c r="H7" s="1036"/>
      <c r="I7" s="1036"/>
    </row>
    <row r="8" spans="2:10" ht="17" customHeight="1">
      <c r="B8" s="1345" t="s">
        <v>943</v>
      </c>
      <c r="C8" s="1035"/>
      <c r="D8" s="1035"/>
      <c r="E8" s="1036"/>
      <c r="F8" s="1036"/>
      <c r="G8" s="1036"/>
      <c r="H8" s="1036"/>
      <c r="I8" s="1036"/>
    </row>
    <row r="9" spans="2:10" ht="18">
      <c r="C9" s="1077"/>
      <c r="D9" s="1035"/>
      <c r="E9" s="1036"/>
      <c r="F9" s="1036"/>
      <c r="G9" s="1036"/>
      <c r="H9" s="1036"/>
      <c r="I9" s="1036"/>
    </row>
    <row r="10" spans="2:10" ht="17" customHeight="1">
      <c r="B10" s="1037" t="s">
        <v>753</v>
      </c>
      <c r="C10" s="1035"/>
      <c r="D10" s="1035"/>
      <c r="E10" s="1036"/>
      <c r="F10" s="1036"/>
      <c r="G10" s="1036"/>
      <c r="H10" s="1036"/>
      <c r="I10" s="1036"/>
    </row>
    <row r="11" spans="2:10" ht="17" customHeight="1">
      <c r="B11" s="135" t="s">
        <v>942</v>
      </c>
      <c r="C11" s="1035"/>
      <c r="D11" s="1035"/>
      <c r="E11" s="1036"/>
      <c r="F11" s="1036"/>
      <c r="G11" s="1036"/>
      <c r="H11" s="1036"/>
      <c r="I11" s="1036"/>
    </row>
    <row r="12" spans="2:10" ht="17" customHeight="1">
      <c r="B12" s="135" t="s">
        <v>940</v>
      </c>
      <c r="C12" s="1035"/>
      <c r="D12" s="1035"/>
      <c r="E12" s="1036"/>
      <c r="F12" s="1036"/>
      <c r="G12" s="1036"/>
      <c r="H12" s="1036"/>
      <c r="I12" s="1036"/>
    </row>
    <row r="13" spans="2:10" ht="17" customHeight="1">
      <c r="B13" s="135" t="s">
        <v>941</v>
      </c>
      <c r="C13" s="1035"/>
      <c r="D13" s="1035"/>
      <c r="E13" s="1036"/>
      <c r="F13" s="1036"/>
      <c r="G13" s="1036"/>
      <c r="H13" s="1036"/>
      <c r="I13" s="1036"/>
    </row>
    <row r="14" spans="2:10" ht="17" customHeight="1">
      <c r="B14" s="1051"/>
      <c r="C14" s="1035"/>
      <c r="D14" s="1035"/>
      <c r="E14" s="1036"/>
      <c r="F14" s="1036"/>
      <c r="G14" s="1036"/>
      <c r="H14" s="1036"/>
      <c r="I14" s="1036"/>
    </row>
    <row r="15" spans="2:10" ht="62" customHeight="1">
      <c r="B15" s="1262" t="s">
        <v>919</v>
      </c>
      <c r="C15" s="1262"/>
      <c r="D15" s="1262"/>
      <c r="E15" s="1262"/>
      <c r="F15" s="1262"/>
      <c r="G15" s="1262"/>
      <c r="H15" s="1262"/>
      <c r="I15" s="1262"/>
      <c r="J15" s="1262"/>
    </row>
    <row r="16" spans="2:10" ht="18">
      <c r="B16" s="1071"/>
      <c r="C16" s="1071"/>
      <c r="D16" s="1071"/>
      <c r="E16" s="1071"/>
      <c r="F16" s="1071"/>
      <c r="G16" s="1071"/>
      <c r="H16" s="1071"/>
      <c r="I16" s="1036"/>
    </row>
    <row r="17" spans="2:10" ht="21">
      <c r="B17" s="1050" t="s">
        <v>944</v>
      </c>
      <c r="C17" s="1035"/>
      <c r="D17" s="1035"/>
      <c r="E17" s="1036"/>
      <c r="F17" s="1036"/>
      <c r="G17" s="1036"/>
      <c r="H17" s="1036"/>
      <c r="I17" s="1036"/>
    </row>
    <row r="18" spans="2:10" ht="21">
      <c r="B18" s="1050"/>
      <c r="C18" s="1035"/>
      <c r="D18" s="1035"/>
      <c r="E18" s="1036"/>
      <c r="F18" s="1036"/>
      <c r="G18" s="1036"/>
      <c r="H18" s="1036"/>
      <c r="I18" s="1036"/>
    </row>
    <row r="19" spans="2:10" ht="48" customHeight="1">
      <c r="B19" s="1262" t="s">
        <v>945</v>
      </c>
      <c r="C19" s="1262"/>
      <c r="D19" s="1262"/>
      <c r="E19" s="1262"/>
      <c r="F19" s="1262"/>
      <c r="G19" s="1262"/>
      <c r="H19" s="1262"/>
      <c r="I19" s="1262"/>
      <c r="J19" s="1262"/>
    </row>
    <row r="21" spans="2:10" ht="49" customHeight="1">
      <c r="B21" s="1262" t="s">
        <v>947</v>
      </c>
      <c r="C21" s="1262"/>
      <c r="D21" s="1262"/>
      <c r="E21" s="1262"/>
      <c r="F21" s="1262"/>
      <c r="G21" s="1262"/>
      <c r="H21" s="1262"/>
      <c r="I21" s="1262"/>
      <c r="J21" s="1262"/>
    </row>
    <row r="22" spans="2:10" ht="30" customHeight="1">
      <c r="B22" s="1346" t="s">
        <v>946</v>
      </c>
      <c r="C22" s="1052"/>
      <c r="D22" s="1052"/>
      <c r="E22" s="1052"/>
      <c r="F22" s="1052"/>
      <c r="G22" s="1052"/>
      <c r="H22" s="1052"/>
      <c r="I22" s="263"/>
    </row>
    <row r="60" spans="2:7" ht="17">
      <c r="B60" s="561"/>
      <c r="F60" s="561"/>
      <c r="G60" s="52"/>
    </row>
    <row r="61" spans="2:7">
      <c r="B61" s="99"/>
      <c r="E61" s="72"/>
      <c r="F61" s="72"/>
      <c r="G61" s="72"/>
    </row>
  </sheetData>
  <sheetProtection sheet="1" objects="1" scenarios="1"/>
  <mergeCells count="3">
    <mergeCell ref="B15:J15"/>
    <mergeCell ref="B21:J21"/>
    <mergeCell ref="B19:J19"/>
  </mergeCells>
  <phoneticPr fontId="16" type="noConversion"/>
  <hyperlinks>
    <hyperlink ref="B22" r:id="rId1"/>
  </hyperlinks>
  <pageMargins left="0.25" right="0.25" top="0.75" bottom="1" header="0.5" footer="0.5"/>
  <pageSetup paperSize="3" orientation="portrait" verticalDpi="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showGridLines="0" workbookViewId="0">
      <selection activeCell="H7" sqref="H7"/>
    </sheetView>
  </sheetViews>
  <sheetFormatPr baseColWidth="10" defaultRowHeight="15" x14ac:dyDescent="0"/>
  <cols>
    <col min="1" max="1" width="2.85546875" style="5" customWidth="1"/>
    <col min="2" max="2" width="30.7109375" style="5" customWidth="1"/>
    <col min="3" max="7" width="12.5703125" style="5" customWidth="1"/>
    <col min="8" max="8" width="17.85546875" style="136" customWidth="1"/>
    <col min="9" max="9" width="17.42578125" style="5" customWidth="1"/>
    <col min="10" max="16384" width="10.7109375" style="5"/>
  </cols>
  <sheetData>
    <row r="1" spans="1:11" ht="16" thickBot="1">
      <c r="G1" s="22"/>
    </row>
    <row r="2" spans="1:11" ht="19" thickBot="1">
      <c r="B2" s="42" t="s">
        <v>629</v>
      </c>
      <c r="D2" s="107"/>
      <c r="E2" s="1022"/>
      <c r="F2" s="873" t="s">
        <v>512</v>
      </c>
      <c r="G2" s="1021"/>
      <c r="H2" s="564"/>
    </row>
    <row r="3" spans="1:11" s="28" customFormat="1" ht="18">
      <c r="B3" s="565"/>
      <c r="D3" s="570"/>
      <c r="E3" s="52"/>
      <c r="F3" s="567"/>
      <c r="G3" s="571"/>
      <c r="H3" s="571"/>
      <c r="I3" s="569"/>
    </row>
    <row r="4" spans="1:11" s="28" customFormat="1" ht="63" customHeight="1">
      <c r="B4" s="1325" t="s">
        <v>884</v>
      </c>
      <c r="C4" s="1325"/>
      <c r="D4" s="1325"/>
      <c r="E4" s="1325"/>
      <c r="F4" s="1325"/>
      <c r="G4" s="1325"/>
      <c r="H4" s="1034"/>
      <c r="I4" s="569"/>
    </row>
    <row r="5" spans="1:11" s="28" customFormat="1" ht="18">
      <c r="B5" s="565"/>
      <c r="D5" s="570"/>
      <c r="E5" s="52"/>
      <c r="F5" s="567"/>
      <c r="G5" s="1034"/>
      <c r="H5" s="1034"/>
      <c r="I5" s="569"/>
    </row>
    <row r="6" spans="1:11" s="253" customFormat="1" ht="25" customHeight="1">
      <c r="B6" s="1213" t="s">
        <v>742</v>
      </c>
      <c r="C6" s="1213"/>
      <c r="D6" s="1213"/>
      <c r="E6" s="1213"/>
      <c r="F6" s="1213"/>
      <c r="G6" s="1213"/>
      <c r="H6" s="876"/>
      <c r="I6" s="876"/>
      <c r="J6" s="259"/>
    </row>
    <row r="7" spans="1:11" ht="31" thickBot="1">
      <c r="B7" s="1193" t="s">
        <v>131</v>
      </c>
      <c r="C7" s="1184" t="s">
        <v>713</v>
      </c>
      <c r="D7" s="1184" t="s">
        <v>714</v>
      </c>
      <c r="E7" s="1184" t="s">
        <v>743</v>
      </c>
      <c r="F7" s="1221" t="s">
        <v>744</v>
      </c>
      <c r="G7" s="1246" t="s">
        <v>382</v>
      </c>
      <c r="H7" s="55"/>
    </row>
    <row r="8" spans="1:11">
      <c r="A8" s="219"/>
      <c r="B8" s="1247" t="str">
        <f>'Workbook Index'!B26</f>
        <v>Beans, Green</v>
      </c>
      <c r="C8" s="1198">
        <v>22</v>
      </c>
      <c r="D8" s="1201">
        <f>C8*'BW2-Field Act. Labor &amp; Mach.'!$E$84</f>
        <v>290.22620000000001</v>
      </c>
      <c r="E8" s="1198">
        <v>60</v>
      </c>
      <c r="F8" s="1201">
        <f>E8*'BW2-Field Act. Labor &amp; Mach.'!$E$84</f>
        <v>791.52599999999995</v>
      </c>
      <c r="G8" s="1198">
        <v>1</v>
      </c>
      <c r="H8" s="55"/>
      <c r="I8" s="28"/>
      <c r="J8" s="28"/>
      <c r="K8" s="28"/>
    </row>
    <row r="9" spans="1:11">
      <c r="A9" s="219"/>
      <c r="B9" s="1245" t="str">
        <f>'Workbook Index'!B27</f>
        <v>Beets</v>
      </c>
      <c r="C9" s="139">
        <v>60</v>
      </c>
      <c r="D9" s="257">
        <f>C9*'BW2-Field Act. Labor &amp; Mach.'!$E$84</f>
        <v>791.52599999999995</v>
      </c>
      <c r="E9" s="139">
        <v>32.5</v>
      </c>
      <c r="F9" s="257">
        <f>E9*'BW2-Field Act. Labor &amp; Mach.'!$E$84</f>
        <v>428.74324999999999</v>
      </c>
      <c r="G9" s="90">
        <v>1</v>
      </c>
      <c r="H9" s="55"/>
      <c r="I9" s="28"/>
      <c r="J9" s="28"/>
      <c r="K9" s="28"/>
    </row>
    <row r="10" spans="1:11">
      <c r="A10" s="219"/>
      <c r="B10" s="1247" t="str">
        <f>'Workbook Index'!B28</f>
        <v>Broccoli</v>
      </c>
      <c r="C10" s="1198">
        <v>15</v>
      </c>
      <c r="D10" s="1201">
        <f>C10*'BW2-Field Act. Labor &amp; Mach.'!$E$84</f>
        <v>197.88149999999999</v>
      </c>
      <c r="E10" s="1198">
        <v>4</v>
      </c>
      <c r="F10" s="1201">
        <f>E10*'BW2-Field Act. Labor &amp; Mach.'!$E$84</f>
        <v>52.7684</v>
      </c>
      <c r="G10" s="1198">
        <v>3</v>
      </c>
      <c r="H10" s="55"/>
      <c r="I10" s="28"/>
      <c r="J10" s="28"/>
      <c r="K10" s="52"/>
    </row>
    <row r="11" spans="1:11">
      <c r="A11" s="219"/>
      <c r="B11" s="1245" t="str">
        <f>'Workbook Index'!B29</f>
        <v>Brussels Sprouts</v>
      </c>
      <c r="C11" s="139">
        <v>80</v>
      </c>
      <c r="D11" s="257">
        <f>C11*'BW2-Field Act. Labor &amp; Mach.'!$E$84</f>
        <v>1055.3679999999999</v>
      </c>
      <c r="E11" s="139">
        <v>50</v>
      </c>
      <c r="F11" s="257">
        <f>E11*'BW2-Field Act. Labor &amp; Mach.'!$E$84</f>
        <v>659.60500000000002</v>
      </c>
      <c r="G11" s="90">
        <v>1</v>
      </c>
      <c r="H11" s="55"/>
      <c r="I11" s="28"/>
      <c r="J11" s="28"/>
      <c r="K11" s="52"/>
    </row>
    <row r="12" spans="1:11">
      <c r="A12" s="219"/>
      <c r="B12" s="1247" t="str">
        <f>'Workbook Index'!B30</f>
        <v>Cabbage</v>
      </c>
      <c r="C12" s="1198">
        <v>25</v>
      </c>
      <c r="D12" s="1201">
        <f>C12*'BW2-Field Act. Labor &amp; Mach.'!$E$84</f>
        <v>329.80250000000001</v>
      </c>
      <c r="E12" s="1198">
        <v>20</v>
      </c>
      <c r="F12" s="1201">
        <f>E12*'BW2-Field Act. Labor &amp; Mach.'!$E$84</f>
        <v>263.84199999999998</v>
      </c>
      <c r="G12" s="1198">
        <v>1</v>
      </c>
      <c r="H12" s="55"/>
      <c r="I12" s="28"/>
      <c r="J12" s="28"/>
      <c r="K12" s="52"/>
    </row>
    <row r="13" spans="1:11">
      <c r="A13" s="219"/>
      <c r="B13" s="1245" t="str">
        <f>'Workbook Index'!B31</f>
        <v>Carrots</v>
      </c>
      <c r="C13" s="139">
        <v>50</v>
      </c>
      <c r="D13" s="257">
        <f>C13*'BW2-Field Act. Labor &amp; Mach.'!$E$84</f>
        <v>659.60500000000002</v>
      </c>
      <c r="E13" s="139">
        <v>25</v>
      </c>
      <c r="F13" s="257">
        <f>E13*'BW2-Field Act. Labor &amp; Mach.'!$E$84</f>
        <v>329.80250000000001</v>
      </c>
      <c r="G13" s="90">
        <v>1</v>
      </c>
      <c r="H13" s="55"/>
      <c r="I13" s="28"/>
      <c r="J13" s="28"/>
      <c r="K13" s="28"/>
    </row>
    <row r="14" spans="1:11">
      <c r="A14" s="219"/>
      <c r="B14" s="1247" t="str">
        <f>'Workbook Index'!B32</f>
        <v>Cauliflower</v>
      </c>
      <c r="C14" s="1198">
        <v>25</v>
      </c>
      <c r="D14" s="1201">
        <f>C14*'BW2-Field Act. Labor &amp; Mach.'!$E$84</f>
        <v>329.80250000000001</v>
      </c>
      <c r="E14" s="1198">
        <v>6</v>
      </c>
      <c r="F14" s="1201">
        <f>E14*'BW2-Field Act. Labor &amp; Mach.'!$E$84</f>
        <v>79.152600000000007</v>
      </c>
      <c r="G14" s="1198">
        <v>1</v>
      </c>
      <c r="H14" s="55"/>
      <c r="I14" s="28"/>
      <c r="J14" s="28"/>
      <c r="K14" s="52"/>
    </row>
    <row r="15" spans="1:11">
      <c r="A15" s="219"/>
      <c r="B15" s="1245" t="str">
        <f>'Workbook Index'!B33</f>
        <v>Chard, Swiss</v>
      </c>
      <c r="C15" s="139">
        <v>60</v>
      </c>
      <c r="D15" s="257">
        <f>C15*'BW2-Field Act. Labor &amp; Mach.'!$E$84</f>
        <v>791.52599999999995</v>
      </c>
      <c r="E15" s="139">
        <v>15</v>
      </c>
      <c r="F15" s="257">
        <f>E15*'BW2-Field Act. Labor &amp; Mach.'!$E$84</f>
        <v>197.88149999999999</v>
      </c>
      <c r="G15" s="90">
        <v>3</v>
      </c>
      <c r="H15" s="55"/>
      <c r="I15" s="28"/>
      <c r="J15" s="28"/>
      <c r="K15" s="28"/>
    </row>
    <row r="16" spans="1:11">
      <c r="A16" s="219"/>
      <c r="B16" s="1247" t="str">
        <f>'Workbook Index'!B34</f>
        <v>Corn, Sweet</v>
      </c>
      <c r="C16" s="1198">
        <v>20</v>
      </c>
      <c r="D16" s="1201">
        <f>C16*'BW2-Field Act. Labor &amp; Mach.'!$E$84</f>
        <v>263.84199999999998</v>
      </c>
      <c r="E16" s="1198">
        <v>8.5</v>
      </c>
      <c r="F16" s="1201">
        <f>E16*'BW2-Field Act. Labor &amp; Mach.'!$E$84</f>
        <v>112.13285</v>
      </c>
      <c r="G16" s="1198">
        <v>1</v>
      </c>
      <c r="H16" s="55"/>
      <c r="I16" s="28"/>
      <c r="J16" s="28"/>
      <c r="K16" s="28"/>
    </row>
    <row r="17" spans="1:11">
      <c r="A17" s="219"/>
      <c r="B17" s="1245" t="str">
        <f>'Workbook Index'!B35</f>
        <v>Cucumbers</v>
      </c>
      <c r="C17" s="139">
        <v>14</v>
      </c>
      <c r="D17" s="257">
        <f>C17*'BW2-Field Act. Labor &amp; Mach.'!$E$84</f>
        <v>184.68940000000001</v>
      </c>
      <c r="E17" s="139">
        <v>4.5</v>
      </c>
      <c r="F17" s="257">
        <f>E17*'BW2-Field Act. Labor &amp; Mach.'!$E$84</f>
        <v>59.364449999999998</v>
      </c>
      <c r="G17" s="90">
        <v>12</v>
      </c>
      <c r="H17" s="55"/>
      <c r="I17" s="28"/>
      <c r="J17" s="28"/>
      <c r="K17" s="28"/>
    </row>
    <row r="18" spans="1:11">
      <c r="A18" s="219"/>
      <c r="B18" s="1247" t="str">
        <f>'Workbook Index'!B36</f>
        <v>Eggplant</v>
      </c>
      <c r="C18" s="1198">
        <v>5</v>
      </c>
      <c r="D18" s="1201">
        <f>C18*'BW2-Field Act. Labor &amp; Mach.'!$E$84</f>
        <v>65.960499999999996</v>
      </c>
      <c r="E18" s="1198">
        <v>3</v>
      </c>
      <c r="F18" s="1201">
        <f>E18*'BW2-Field Act. Labor &amp; Mach.'!$E$84</f>
        <v>39.576300000000003</v>
      </c>
      <c r="G18" s="1198">
        <v>16</v>
      </c>
      <c r="H18" s="55"/>
      <c r="I18" s="28"/>
      <c r="J18" s="28"/>
      <c r="K18" s="28"/>
    </row>
    <row r="19" spans="1:11">
      <c r="A19" s="219"/>
      <c r="B19" s="1245" t="str">
        <f>'Workbook Index'!B37</f>
        <v>Garlic</v>
      </c>
      <c r="C19" s="139">
        <v>31.607142857142858</v>
      </c>
      <c r="D19" s="257">
        <f>C19*'BW2-Field Act. Labor &amp; Mach.'!$E$84</f>
        <v>416.96458928571428</v>
      </c>
      <c r="E19" s="139">
        <v>80</v>
      </c>
      <c r="F19" s="257">
        <f>E19*'BW2-Field Act. Labor &amp; Mach.'!$E$84</f>
        <v>1055.3679999999999</v>
      </c>
      <c r="G19" s="90">
        <v>1</v>
      </c>
      <c r="H19" s="55"/>
      <c r="I19" s="28"/>
      <c r="J19" s="28"/>
      <c r="K19" s="52"/>
    </row>
    <row r="20" spans="1:11">
      <c r="A20" s="219"/>
      <c r="B20" s="1247" t="str">
        <f>'Workbook Index'!B38</f>
        <v>Greens, Kale/Collards</v>
      </c>
      <c r="C20" s="1198">
        <v>50</v>
      </c>
      <c r="D20" s="1201">
        <f>C20*'BW2-Field Act. Labor &amp; Mach.'!$E$84</f>
        <v>659.60500000000002</v>
      </c>
      <c r="E20" s="1198">
        <v>15</v>
      </c>
      <c r="F20" s="1201">
        <f>E20*'BW2-Field Act. Labor &amp; Mach.'!$E$84</f>
        <v>197.88149999999999</v>
      </c>
      <c r="G20" s="1198">
        <v>3</v>
      </c>
      <c r="H20" s="55"/>
      <c r="I20" s="28"/>
      <c r="J20" s="28"/>
      <c r="K20" s="28"/>
    </row>
    <row r="21" spans="1:11">
      <c r="A21" s="219"/>
      <c r="B21" s="1245" t="str">
        <f>'Workbook Index'!B39</f>
        <v>Greens, Salad</v>
      </c>
      <c r="C21" s="139">
        <v>40</v>
      </c>
      <c r="D21" s="257">
        <f>C21*'BW2-Field Act. Labor &amp; Mach.'!$E$84</f>
        <v>527.68399999999997</v>
      </c>
      <c r="E21" s="139">
        <v>80</v>
      </c>
      <c r="F21" s="257">
        <f>E21*'BW2-Field Act. Labor &amp; Mach.'!$E$84</f>
        <v>1055.3679999999999</v>
      </c>
      <c r="G21" s="90">
        <v>2</v>
      </c>
      <c r="H21" s="55"/>
      <c r="I21" s="28"/>
      <c r="J21" s="28"/>
      <c r="K21" s="28"/>
    </row>
    <row r="22" spans="1:11">
      <c r="A22" s="219"/>
      <c r="B22" s="1247" t="str">
        <f>'Workbook Index'!B40</f>
        <v>Herbs, Summer Annual</v>
      </c>
      <c r="C22" s="1198">
        <v>45</v>
      </c>
      <c r="D22" s="1201">
        <f>C22*'BW2-Field Act. Labor &amp; Mach.'!$E$84</f>
        <v>593.64449999999999</v>
      </c>
      <c r="E22" s="1198">
        <v>10</v>
      </c>
      <c r="F22" s="1201">
        <f>E22*'BW2-Field Act. Labor &amp; Mach.'!$E$84</f>
        <v>131.92099999999999</v>
      </c>
      <c r="G22" s="1198">
        <v>2</v>
      </c>
      <c r="H22" s="55"/>
      <c r="I22" s="28"/>
      <c r="J22" s="28"/>
      <c r="K22" s="52"/>
    </row>
    <row r="23" spans="1:11">
      <c r="A23" s="219"/>
      <c r="B23" s="1245" t="str">
        <f>'Workbook Index'!B41</f>
        <v>Kohlrabi</v>
      </c>
      <c r="C23" s="139">
        <v>32.961111111111109</v>
      </c>
      <c r="D23" s="257">
        <f>C23*'BW2-Field Act. Labor &amp; Mach.'!$E$84</f>
        <v>434.82627388888886</v>
      </c>
      <c r="E23" s="139">
        <v>10</v>
      </c>
      <c r="F23" s="257">
        <f>E23*'BW2-Field Act. Labor &amp; Mach.'!$E$84</f>
        <v>131.92099999999999</v>
      </c>
      <c r="G23" s="90">
        <v>1</v>
      </c>
      <c r="H23" s="55"/>
      <c r="I23" s="28"/>
      <c r="J23" s="28"/>
      <c r="K23" s="52"/>
    </row>
    <row r="24" spans="1:11">
      <c r="A24" s="219"/>
      <c r="B24" s="1247" t="str">
        <f>'Workbook Index'!B42</f>
        <v>Leeks</v>
      </c>
      <c r="C24" s="1198">
        <v>180</v>
      </c>
      <c r="D24" s="1201">
        <f>C24*'BW2-Field Act. Labor &amp; Mach.'!$E$84</f>
        <v>2374.578</v>
      </c>
      <c r="E24" s="1198">
        <v>40</v>
      </c>
      <c r="F24" s="1201">
        <f>E24*'BW2-Field Act. Labor &amp; Mach.'!$E$84</f>
        <v>527.68399999999997</v>
      </c>
      <c r="G24" s="1198">
        <v>1</v>
      </c>
      <c r="H24" s="55"/>
      <c r="I24" s="28"/>
      <c r="J24" s="28"/>
      <c r="K24" s="52"/>
    </row>
    <row r="25" spans="1:11">
      <c r="A25" s="219"/>
      <c r="B25" s="1245" t="str">
        <f>'Workbook Index'!B43</f>
        <v>Lettuce, Head</v>
      </c>
      <c r="C25" s="139">
        <v>40</v>
      </c>
      <c r="D25" s="257">
        <f>C25*'BW2-Field Act. Labor &amp; Mach.'!$E$84</f>
        <v>527.68399999999997</v>
      </c>
      <c r="E25" s="139">
        <v>25</v>
      </c>
      <c r="F25" s="257">
        <f>E25*'BW2-Field Act. Labor &amp; Mach.'!$E$84</f>
        <v>329.80250000000001</v>
      </c>
      <c r="G25" s="90">
        <v>1</v>
      </c>
      <c r="H25" s="55"/>
      <c r="I25" s="28"/>
      <c r="J25" s="28"/>
      <c r="K25" s="28"/>
    </row>
    <row r="26" spans="1:11">
      <c r="A26" s="219"/>
      <c r="B26" s="1247" t="str">
        <f>'Workbook Index'!B44</f>
        <v>Muskmelon (Cantaloupe)</v>
      </c>
      <c r="C26" s="1198">
        <v>20</v>
      </c>
      <c r="D26" s="1201">
        <f>C26*'BW2-Field Act. Labor &amp; Mach.'!$E$84</f>
        <v>263.84199999999998</v>
      </c>
      <c r="E26" s="1198">
        <v>3</v>
      </c>
      <c r="F26" s="1201">
        <f>E26*'BW2-Field Act. Labor &amp; Mach.'!$E$84</f>
        <v>39.576300000000003</v>
      </c>
      <c r="G26" s="1198">
        <v>1</v>
      </c>
      <c r="H26" s="55"/>
      <c r="I26" s="28"/>
      <c r="J26" s="28"/>
      <c r="K26" s="28"/>
    </row>
    <row r="27" spans="1:11">
      <c r="A27" s="219"/>
      <c r="B27" s="1245" t="str">
        <f>'Workbook Index'!B45</f>
        <v>Onions, Bulb</v>
      </c>
      <c r="C27" s="139">
        <v>50</v>
      </c>
      <c r="D27" s="257">
        <f>C27*'BW2-Field Act. Labor &amp; Mach.'!$E$84</f>
        <v>659.60500000000002</v>
      </c>
      <c r="E27" s="139">
        <v>80</v>
      </c>
      <c r="F27" s="257">
        <f>E27*'BW2-Field Act. Labor &amp; Mach.'!$E$84</f>
        <v>1055.3679999999999</v>
      </c>
      <c r="G27" s="90">
        <v>1</v>
      </c>
      <c r="H27" s="55"/>
      <c r="I27" s="28"/>
      <c r="J27" s="28"/>
      <c r="K27" s="52"/>
    </row>
    <row r="28" spans="1:11">
      <c r="A28" s="219"/>
      <c r="B28" s="1247" t="str">
        <f>'Workbook Index'!B46</f>
        <v>Peppers</v>
      </c>
      <c r="C28" s="1198">
        <v>20</v>
      </c>
      <c r="D28" s="1201">
        <f>C28*'BW2-Field Act. Labor &amp; Mach.'!$E$84</f>
        <v>263.84199999999998</v>
      </c>
      <c r="E28" s="1198">
        <v>3</v>
      </c>
      <c r="F28" s="1201">
        <f>E28*'BW2-Field Act. Labor &amp; Mach.'!$E$84</f>
        <v>39.576300000000003</v>
      </c>
      <c r="G28" s="1198">
        <v>8</v>
      </c>
      <c r="H28" s="55"/>
      <c r="I28" s="28"/>
      <c r="J28" s="28"/>
      <c r="K28" s="52"/>
    </row>
    <row r="29" spans="1:11">
      <c r="A29" s="219"/>
      <c r="B29" s="1245" t="str">
        <f>'Workbook Index'!B47</f>
        <v>Potatoes</v>
      </c>
      <c r="C29" s="139">
        <v>30</v>
      </c>
      <c r="D29" s="257">
        <f>C29*'BW2-Field Act. Labor &amp; Mach.'!$E$84</f>
        <v>395.76299999999998</v>
      </c>
      <c r="E29" s="139">
        <v>30</v>
      </c>
      <c r="F29" s="257">
        <f>E29*'BW2-Field Act. Labor &amp; Mach.'!$E$84</f>
        <v>395.76299999999998</v>
      </c>
      <c r="G29" s="90">
        <v>1</v>
      </c>
      <c r="H29" s="55"/>
      <c r="I29" s="28"/>
      <c r="J29" s="28"/>
      <c r="K29" s="28"/>
    </row>
    <row r="30" spans="1:11">
      <c r="A30" s="219"/>
      <c r="B30" s="1247" t="str">
        <f>'Workbook Index'!B48</f>
        <v>Potatoes, Sweet</v>
      </c>
      <c r="C30" s="1198">
        <v>30</v>
      </c>
      <c r="D30" s="1201">
        <f>C30*'BW2-Field Act. Labor &amp; Mach.'!$E$84</f>
        <v>395.76299999999998</v>
      </c>
      <c r="E30" s="1198">
        <v>15</v>
      </c>
      <c r="F30" s="1201">
        <f>E30*'BW2-Field Act. Labor &amp; Mach.'!$E$84</f>
        <v>197.88149999999999</v>
      </c>
      <c r="G30" s="1198">
        <v>1</v>
      </c>
      <c r="H30" s="55"/>
      <c r="I30" s="28"/>
      <c r="J30" s="28"/>
      <c r="K30" s="28"/>
    </row>
    <row r="31" spans="1:11">
      <c r="A31" s="219"/>
      <c r="B31" s="1245" t="str">
        <f>'Workbook Index'!B49</f>
        <v>Roots, Radish/Turnip</v>
      </c>
      <c r="C31" s="139">
        <v>90</v>
      </c>
      <c r="D31" s="257">
        <f>C31*'BW2-Field Act. Labor &amp; Mach.'!$E$84</f>
        <v>1187.289</v>
      </c>
      <c r="E31" s="139">
        <v>25</v>
      </c>
      <c r="F31" s="257">
        <f>E31*'BW2-Field Act. Labor &amp; Mach.'!$E$84</f>
        <v>329.80250000000001</v>
      </c>
      <c r="G31" s="90">
        <v>1</v>
      </c>
      <c r="H31" s="55"/>
      <c r="I31" s="28"/>
      <c r="J31" s="28"/>
      <c r="K31" s="28"/>
    </row>
    <row r="32" spans="1:11">
      <c r="A32" s="219"/>
      <c r="B32" s="1247" t="str">
        <f>'Workbook Index'!B50</f>
        <v>Scallions</v>
      </c>
      <c r="C32" s="1198">
        <v>220</v>
      </c>
      <c r="D32" s="1201">
        <f>C32*'BW2-Field Act. Labor &amp; Mach.'!$E$84</f>
        <v>2902.2620000000002</v>
      </c>
      <c r="E32" s="1198">
        <v>40</v>
      </c>
      <c r="F32" s="1201">
        <f>E32*'BW2-Field Act. Labor &amp; Mach.'!$E$84</f>
        <v>527.68399999999997</v>
      </c>
      <c r="G32" s="1198">
        <v>1</v>
      </c>
      <c r="H32" s="22"/>
    </row>
    <row r="33" spans="1:8">
      <c r="A33" s="219"/>
      <c r="B33" s="1245" t="str">
        <f>'Workbook Index'!B51</f>
        <v>Squash, Summer</v>
      </c>
      <c r="C33" s="139">
        <v>14</v>
      </c>
      <c r="D33" s="257">
        <f>C33*'BW2-Field Act. Labor &amp; Mach.'!$E$84</f>
        <v>184.68940000000001</v>
      </c>
      <c r="E33" s="139">
        <v>4.5</v>
      </c>
      <c r="F33" s="257">
        <f>E33*'BW2-Field Act. Labor &amp; Mach.'!$E$84</f>
        <v>59.364449999999998</v>
      </c>
      <c r="G33" s="90">
        <v>12</v>
      </c>
      <c r="H33" s="22"/>
    </row>
    <row r="34" spans="1:8">
      <c r="A34" s="219"/>
      <c r="B34" s="1247" t="str">
        <f>'Workbook Index'!B52</f>
        <v>Squash, Winter</v>
      </c>
      <c r="C34" s="1198">
        <v>15</v>
      </c>
      <c r="D34" s="1201">
        <f>C34*'BW2-Field Act. Labor &amp; Mach.'!$E$84</f>
        <v>197.88149999999999</v>
      </c>
      <c r="E34" s="1198">
        <v>15</v>
      </c>
      <c r="F34" s="1201">
        <f>E34*'BW2-Field Act. Labor &amp; Mach.'!$E$84</f>
        <v>197.88149999999999</v>
      </c>
      <c r="G34" s="1198">
        <v>1</v>
      </c>
      <c r="H34" s="22"/>
    </row>
    <row r="35" spans="1:8">
      <c r="A35" s="219"/>
      <c r="B35" s="1245" t="str">
        <f>'Workbook Index'!B53</f>
        <v>Tomatoes</v>
      </c>
      <c r="C35" s="139">
        <v>10</v>
      </c>
      <c r="D35" s="257">
        <f>C35*'BW2-Field Act. Labor &amp; Mach.'!$E$84</f>
        <v>131.92099999999999</v>
      </c>
      <c r="E35" s="139">
        <v>10</v>
      </c>
      <c r="F35" s="257">
        <f>E35*'BW2-Field Act. Labor &amp; Mach.'!$E$84</f>
        <v>131.92099999999999</v>
      </c>
      <c r="G35" s="90">
        <v>16</v>
      </c>
      <c r="H35" s="22"/>
    </row>
    <row r="36" spans="1:8">
      <c r="A36" s="219"/>
      <c r="B36" s="1247" t="str">
        <f>'Workbook Index'!B54</f>
        <v>Watermelon</v>
      </c>
      <c r="C36" s="1198">
        <v>20</v>
      </c>
      <c r="D36" s="1201">
        <f>C36*'BW2-Field Act. Labor &amp; Mach.'!$E$84</f>
        <v>263.84199999999998</v>
      </c>
      <c r="E36" s="1198">
        <v>7</v>
      </c>
      <c r="F36" s="1201">
        <f>E36*'BW2-Field Act. Labor &amp; Mach.'!$E$84</f>
        <v>92.344700000000003</v>
      </c>
      <c r="G36" s="1198">
        <v>1</v>
      </c>
      <c r="H36" s="22"/>
    </row>
    <row r="37" spans="1:8">
      <c r="B37" s="22"/>
      <c r="C37" s="22"/>
      <c r="D37" s="179"/>
      <c r="E37" s="22"/>
      <c r="F37" s="139"/>
      <c r="G37" s="22"/>
      <c r="H37" s="22"/>
    </row>
    <row r="38" spans="1:8">
      <c r="D38" s="153"/>
      <c r="F38" s="136"/>
      <c r="H38" s="5"/>
    </row>
    <row r="112" ht="16" thickBot="1"/>
    <row r="113" spans="2:10">
      <c r="B113" s="248" t="s">
        <v>381</v>
      </c>
      <c r="C113" s="249"/>
      <c r="D113" s="249"/>
      <c r="E113" s="249"/>
      <c r="F113" s="249"/>
      <c r="G113" s="249"/>
      <c r="H113" s="251"/>
      <c r="I113" s="249"/>
      <c r="J113" s="101"/>
    </row>
    <row r="114" spans="2:10">
      <c r="B114" s="51"/>
      <c r="C114" s="22"/>
      <c r="D114" s="22" t="s">
        <v>380</v>
      </c>
      <c r="E114" s="22" t="s">
        <v>379</v>
      </c>
      <c r="F114" s="22" t="s">
        <v>378</v>
      </c>
      <c r="G114" s="22"/>
      <c r="H114" s="139" t="s">
        <v>377</v>
      </c>
      <c r="I114" s="22" t="s">
        <v>376</v>
      </c>
      <c r="J114" s="84" t="s">
        <v>375</v>
      </c>
    </row>
    <row r="115" spans="2:10">
      <c r="B115" s="51"/>
      <c r="C115" s="22"/>
      <c r="D115" s="22"/>
      <c r="E115" s="22"/>
      <c r="F115" s="22"/>
      <c r="G115" s="22"/>
      <c r="H115" s="24"/>
      <c r="I115" s="246">
        <v>5.4493099999999997E-3</v>
      </c>
      <c r="J115" s="85"/>
    </row>
    <row r="116" spans="2:10">
      <c r="B116" s="51"/>
      <c r="C116" s="22"/>
      <c r="D116" s="22"/>
      <c r="E116" s="22"/>
      <c r="F116" s="22"/>
      <c r="G116" s="22"/>
      <c r="H116" s="24"/>
      <c r="I116" s="246">
        <v>5.4493099999999997E-3</v>
      </c>
      <c r="J116" s="85"/>
    </row>
    <row r="117" spans="2:10">
      <c r="B117" s="51"/>
      <c r="C117" s="22"/>
      <c r="D117" s="22"/>
      <c r="E117" s="22"/>
      <c r="F117" s="22"/>
      <c r="G117" s="22"/>
      <c r="H117" s="24"/>
      <c r="I117" s="246">
        <v>5.4493099999999997E-3</v>
      </c>
      <c r="J117" s="85"/>
    </row>
    <row r="118" spans="2:10">
      <c r="B118" s="51"/>
      <c r="C118" s="22"/>
      <c r="D118" s="22"/>
      <c r="E118" s="22"/>
      <c r="F118" s="22"/>
      <c r="G118" s="22"/>
      <c r="H118" s="24"/>
      <c r="I118" s="246">
        <v>5.4493099999999997E-3</v>
      </c>
      <c r="J118" s="85"/>
    </row>
    <row r="119" spans="2:10">
      <c r="B119" s="51"/>
      <c r="C119" s="22"/>
      <c r="D119" s="22"/>
      <c r="E119" s="22"/>
      <c r="F119" s="22"/>
      <c r="G119" s="22"/>
      <c r="H119" s="24"/>
      <c r="I119" s="246">
        <v>5.4493099999999997E-3</v>
      </c>
      <c r="J119" s="85"/>
    </row>
    <row r="120" spans="2:10">
      <c r="B120" s="51"/>
      <c r="C120" s="22"/>
      <c r="D120" s="22"/>
      <c r="E120" s="22"/>
      <c r="F120" s="22"/>
      <c r="G120" s="22"/>
      <c r="H120" s="24"/>
      <c r="I120" s="246">
        <v>5.4493099999999997E-3</v>
      </c>
      <c r="J120" s="85"/>
    </row>
    <row r="121" spans="2:10">
      <c r="B121" s="51"/>
      <c r="C121" s="22"/>
      <c r="D121" s="22"/>
      <c r="E121" s="22"/>
      <c r="F121" s="22"/>
      <c r="G121" s="22"/>
      <c r="H121" s="24"/>
      <c r="I121" s="246">
        <v>5.4493099999999997E-3</v>
      </c>
      <c r="J121" s="85"/>
    </row>
    <row r="122" spans="2:10">
      <c r="B122" s="51"/>
      <c r="C122" s="22"/>
      <c r="D122" s="22"/>
      <c r="E122" s="22"/>
      <c r="F122" s="22"/>
      <c r="G122" s="22"/>
      <c r="H122" s="24"/>
      <c r="I122" s="246">
        <v>5.4493099999999997E-3</v>
      </c>
      <c r="J122" s="85"/>
    </row>
    <row r="123" spans="2:10">
      <c r="B123" s="51"/>
      <c r="C123" s="22"/>
      <c r="D123" s="22"/>
      <c r="E123" s="22"/>
      <c r="F123" s="22"/>
      <c r="G123" s="22"/>
      <c r="H123" s="24"/>
      <c r="I123" s="246">
        <v>5.4493099999999997E-3</v>
      </c>
      <c r="J123" s="85"/>
    </row>
    <row r="124" spans="2:10">
      <c r="B124" s="51"/>
      <c r="C124" s="22"/>
      <c r="D124" s="22"/>
      <c r="E124" s="22"/>
      <c r="F124" s="22"/>
      <c r="G124" s="22"/>
      <c r="H124" s="24"/>
      <c r="I124" s="246">
        <v>5.4493099999999997E-3</v>
      </c>
      <c r="J124" s="85"/>
    </row>
    <row r="125" spans="2:10">
      <c r="B125" s="51"/>
      <c r="C125" s="22"/>
      <c r="D125" s="22"/>
      <c r="E125" s="22"/>
      <c r="F125" s="22"/>
      <c r="G125" s="22"/>
      <c r="H125" s="24"/>
      <c r="I125" s="246">
        <v>5.4493099999999997E-3</v>
      </c>
      <c r="J125" s="85"/>
    </row>
    <row r="126" spans="2:10">
      <c r="B126" s="51"/>
      <c r="C126" s="22"/>
      <c r="D126" s="22"/>
      <c r="E126" s="22"/>
      <c r="F126" s="22"/>
      <c r="G126" s="22"/>
      <c r="H126" s="24"/>
      <c r="I126" s="246">
        <v>5.4493099999999997E-3</v>
      </c>
      <c r="J126" s="85"/>
    </row>
    <row r="127" spans="2:10">
      <c r="B127" s="51"/>
      <c r="C127" s="22"/>
      <c r="D127" s="22"/>
      <c r="E127" s="22"/>
      <c r="F127" s="22"/>
      <c r="G127" s="22"/>
      <c r="H127" s="24"/>
      <c r="I127" s="246">
        <v>5.4493099999999997E-3</v>
      </c>
      <c r="J127" s="85"/>
    </row>
    <row r="128" spans="2:10">
      <c r="B128" s="51"/>
      <c r="C128" s="22"/>
      <c r="D128" s="22"/>
      <c r="E128" s="22"/>
      <c r="F128" s="22"/>
      <c r="G128" s="22"/>
      <c r="H128" s="24"/>
      <c r="I128" s="246">
        <v>5.4493099999999997E-3</v>
      </c>
      <c r="J128" s="85"/>
    </row>
    <row r="129" spans="2:10">
      <c r="B129" s="51"/>
      <c r="C129" s="22"/>
      <c r="D129" s="22"/>
      <c r="E129" s="22"/>
      <c r="F129" s="22"/>
      <c r="G129" s="22"/>
      <c r="H129" s="24"/>
      <c r="I129" s="246">
        <v>5.4493099999999997E-3</v>
      </c>
      <c r="J129" s="85"/>
    </row>
    <row r="130" spans="2:10">
      <c r="B130" s="51"/>
      <c r="C130" s="22"/>
      <c r="D130" s="22"/>
      <c r="E130" s="22"/>
      <c r="F130" s="22"/>
      <c r="G130" s="22"/>
      <c r="H130" s="24"/>
      <c r="I130" s="246">
        <v>5.4493099999999997E-3</v>
      </c>
      <c r="J130" s="85"/>
    </row>
    <row r="131" spans="2:10">
      <c r="B131" s="51"/>
      <c r="C131" s="22"/>
      <c r="D131" s="22"/>
      <c r="E131" s="22"/>
      <c r="F131" s="22"/>
      <c r="G131" s="22"/>
      <c r="H131" s="24"/>
      <c r="I131" s="246">
        <v>5.4493099999999997E-3</v>
      </c>
      <c r="J131" s="85"/>
    </row>
    <row r="132" spans="2:10">
      <c r="B132" s="51"/>
      <c r="C132" s="22"/>
      <c r="D132" s="22"/>
      <c r="E132" s="22"/>
      <c r="F132" s="22"/>
      <c r="G132" s="22"/>
      <c r="H132" s="24"/>
      <c r="I132" s="246">
        <v>5.4493099999999997E-3</v>
      </c>
      <c r="J132" s="85"/>
    </row>
    <row r="133" spans="2:10">
      <c r="B133" s="51"/>
      <c r="C133" s="22"/>
      <c r="D133" s="22"/>
      <c r="E133" s="22"/>
      <c r="F133" s="22"/>
      <c r="G133" s="22"/>
      <c r="H133" s="24"/>
      <c r="I133" s="246">
        <v>5.4493099999999997E-3</v>
      </c>
      <c r="J133" s="85"/>
    </row>
    <row r="134" spans="2:10">
      <c r="B134" s="51"/>
      <c r="C134" s="22"/>
      <c r="D134" s="22"/>
      <c r="E134" s="22"/>
      <c r="F134" s="22"/>
      <c r="G134" s="22"/>
      <c r="H134" s="24"/>
      <c r="I134" s="246">
        <v>5.4493099999999997E-3</v>
      </c>
      <c r="J134" s="85"/>
    </row>
    <row r="135" spans="2:10">
      <c r="B135" s="51"/>
      <c r="C135" s="22"/>
      <c r="D135" s="22"/>
      <c r="E135" s="22"/>
      <c r="F135" s="22"/>
      <c r="G135" s="22"/>
      <c r="H135" s="24"/>
      <c r="I135" s="246">
        <v>5.4493099999999997E-3</v>
      </c>
      <c r="J135" s="85"/>
    </row>
    <row r="136" spans="2:10">
      <c r="B136" s="51"/>
      <c r="C136" s="22"/>
      <c r="D136" s="22"/>
      <c r="E136" s="22"/>
      <c r="F136" s="22"/>
      <c r="G136" s="22"/>
      <c r="H136" s="24"/>
      <c r="I136" s="246">
        <v>5.4493099999999997E-3</v>
      </c>
      <c r="J136" s="85"/>
    </row>
    <row r="137" spans="2:10">
      <c r="B137" s="51"/>
      <c r="C137" s="22"/>
      <c r="D137" s="22"/>
      <c r="E137" s="22"/>
      <c r="F137" s="22"/>
      <c r="G137" s="22"/>
      <c r="H137" s="24"/>
      <c r="I137" s="246">
        <v>5.4493099999999997E-3</v>
      </c>
      <c r="J137" s="85"/>
    </row>
    <row r="138" spans="2:10">
      <c r="B138" s="51"/>
      <c r="C138" s="22"/>
      <c r="D138" s="22"/>
      <c r="E138" s="22"/>
      <c r="F138" s="22"/>
      <c r="G138" s="22"/>
      <c r="H138" s="24"/>
      <c r="I138" s="246">
        <v>5.4493099999999997E-3</v>
      </c>
      <c r="J138" s="85"/>
    </row>
    <row r="139" spans="2:10">
      <c r="B139" s="51"/>
      <c r="C139" s="22"/>
      <c r="D139" s="22"/>
      <c r="E139" s="22"/>
      <c r="F139" s="22"/>
      <c r="G139" s="22"/>
      <c r="H139" s="24"/>
      <c r="I139" s="246">
        <v>5.4493099999999997E-3</v>
      </c>
      <c r="J139" s="85"/>
    </row>
    <row r="140" spans="2:10">
      <c r="B140" s="51"/>
      <c r="C140" s="22"/>
      <c r="D140" s="22"/>
      <c r="E140" s="22"/>
      <c r="F140" s="22"/>
      <c r="G140" s="22"/>
      <c r="H140" s="24"/>
      <c r="I140" s="246">
        <v>5.4493099999999997E-3</v>
      </c>
      <c r="J140" s="85"/>
    </row>
    <row r="141" spans="2:10">
      <c r="B141" s="51"/>
      <c r="C141" s="22"/>
      <c r="D141" s="22"/>
      <c r="E141" s="22"/>
      <c r="F141" s="22"/>
      <c r="G141" s="22"/>
      <c r="H141" s="24"/>
      <c r="I141" s="246">
        <v>5.4493099999999997E-3</v>
      </c>
      <c r="J141" s="85"/>
    </row>
    <row r="142" spans="2:10">
      <c r="B142" s="51"/>
      <c r="C142" s="22"/>
      <c r="D142" s="22"/>
      <c r="E142" s="22"/>
      <c r="F142" s="22"/>
      <c r="G142" s="22"/>
      <c r="H142" s="24"/>
      <c r="I142" s="246">
        <v>5.4493099999999997E-3</v>
      </c>
      <c r="J142" s="85"/>
    </row>
    <row r="143" spans="2:10" ht="16" thickBot="1">
      <c r="B143" s="77"/>
      <c r="C143" s="78"/>
      <c r="D143" s="78"/>
      <c r="E143" s="78"/>
      <c r="F143" s="78"/>
      <c r="G143" s="78"/>
      <c r="H143" s="250"/>
      <c r="I143" s="247">
        <v>5.4493099999999997E-3</v>
      </c>
      <c r="J143" s="230"/>
    </row>
    <row r="150" spans="3:6">
      <c r="C150" s="5" t="s">
        <v>372</v>
      </c>
      <c r="D150" s="5" t="s">
        <v>373</v>
      </c>
      <c r="E150" s="5" t="s">
        <v>374</v>
      </c>
    </row>
    <row r="151" spans="3:6">
      <c r="C151" s="245">
        <v>4.9438599999999996E-3</v>
      </c>
      <c r="D151" s="245">
        <v>1.9699E-4</v>
      </c>
      <c r="E151" s="245">
        <v>3.0845999999999998E-4</v>
      </c>
      <c r="F151" s="245">
        <f>C151+D151+E151</f>
        <v>5.4493099999999997E-3</v>
      </c>
    </row>
  </sheetData>
  <sheetProtection sheet="1" objects="1" scenarios="1"/>
  <mergeCells count="1">
    <mergeCell ref="B4:G4"/>
  </mergeCells>
  <hyperlinks>
    <hyperlink ref="F2" location="'Workbook Index'!A1" display="Back to Workbook Index"/>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16"/>
  <sheetViews>
    <sheetView showGridLines="0" workbookViewId="0">
      <selection activeCell="F39" sqref="F39"/>
    </sheetView>
  </sheetViews>
  <sheetFormatPr baseColWidth="10" defaultRowHeight="15" x14ac:dyDescent="0"/>
  <cols>
    <col min="1" max="1" width="2.85546875" style="556" customWidth="1"/>
    <col min="2" max="2" width="21" style="556" customWidth="1"/>
    <col min="3" max="3" width="30.85546875" style="556" customWidth="1"/>
    <col min="4" max="6" width="15.85546875" style="556" customWidth="1"/>
    <col min="7" max="7" width="16.5703125" style="556" customWidth="1"/>
    <col min="8" max="8" width="14.28515625" style="556" customWidth="1"/>
    <col min="9" max="9" width="13" style="556" customWidth="1"/>
    <col min="10" max="10" width="13.5703125" style="556" customWidth="1"/>
    <col min="11" max="11" width="12.28515625" style="556" customWidth="1"/>
    <col min="12" max="13" width="11.7109375" style="556" customWidth="1"/>
    <col min="14" max="14" width="16.85546875" style="556" customWidth="1"/>
    <col min="15" max="16384" width="10.7109375" style="556"/>
  </cols>
  <sheetData>
    <row r="1" spans="2:8" ht="16" thickBot="1">
      <c r="D1" s="552"/>
    </row>
    <row r="2" spans="2:8" ht="19" thickBot="1">
      <c r="B2" s="1063" t="s">
        <v>730</v>
      </c>
      <c r="C2" s="552"/>
      <c r="D2" s="1062"/>
      <c r="E2" s="1326" t="s">
        <v>512</v>
      </c>
      <c r="F2" s="1264"/>
      <c r="G2" s="564"/>
    </row>
    <row r="3" spans="2:8" s="807" customFormat="1" ht="18">
      <c r="B3" s="1061"/>
      <c r="C3" s="1060"/>
      <c r="D3" s="1034"/>
      <c r="E3" s="1034"/>
      <c r="F3" s="449"/>
    </row>
    <row r="4" spans="2:8" s="807" customFormat="1" ht="64" customHeight="1">
      <c r="B4" s="1330" t="s">
        <v>885</v>
      </c>
      <c r="C4" s="1331"/>
      <c r="D4" s="1331"/>
      <c r="E4" s="1331"/>
      <c r="F4" s="1331"/>
    </row>
    <row r="5" spans="2:8" s="807" customFormat="1" ht="18">
      <c r="B5" s="1061"/>
      <c r="C5" s="1060"/>
      <c r="D5" s="1034"/>
      <c r="E5" s="1034"/>
      <c r="F5" s="449"/>
    </row>
    <row r="6" spans="2:8" ht="25" customHeight="1">
      <c r="B6" s="1329" t="s">
        <v>848</v>
      </c>
      <c r="C6" s="1329"/>
      <c r="D6" s="1329"/>
      <c r="H6" s="1053"/>
    </row>
    <row r="7" spans="2:8" s="552" customFormat="1">
      <c r="C7" s="1248" t="s">
        <v>842</v>
      </c>
      <c r="D7" s="1249" t="s">
        <v>843</v>
      </c>
      <c r="E7" s="449"/>
      <c r="F7" s="449"/>
      <c r="G7" s="449"/>
      <c r="H7" s="449"/>
    </row>
    <row r="8" spans="2:8" s="1059" customFormat="1" ht="19" thickBot="1">
      <c r="B8" s="1252" t="s">
        <v>131</v>
      </c>
      <c r="C8" s="1253" t="s">
        <v>841</v>
      </c>
      <c r="D8" s="1254" t="s">
        <v>847</v>
      </c>
    </row>
    <row r="9" spans="2:8">
      <c r="B9" s="552" t="str">
        <f>'Workbook Index'!B26</f>
        <v>Beans, Green</v>
      </c>
      <c r="C9" s="1250">
        <v>0.44500000000000001</v>
      </c>
      <c r="D9" s="1251">
        <f>C9*'BW1-Bed and Row Spacing'!$J8</f>
        <v>2982.1846153846154</v>
      </c>
      <c r="E9" s="844"/>
    </row>
    <row r="10" spans="2:8">
      <c r="B10" s="552" t="str">
        <f>'Workbook Index'!B27</f>
        <v>Beets</v>
      </c>
      <c r="C10" s="1250">
        <v>1.1566666666666667</v>
      </c>
      <c r="D10" s="1251">
        <f>C10*'BW1-Bed and Row Spacing'!$J9</f>
        <v>7751.4461538461546</v>
      </c>
      <c r="E10" s="844"/>
    </row>
    <row r="11" spans="2:8">
      <c r="B11" s="552" t="str">
        <f>'Workbook Index'!B28</f>
        <v>Broccoli</v>
      </c>
      <c r="C11" s="1250">
        <v>0.6</v>
      </c>
      <c r="D11" s="1251">
        <f>C11*'BW1-Bed and Row Spacing'!$J10</f>
        <v>4020.9230769230771</v>
      </c>
      <c r="E11" s="844"/>
    </row>
    <row r="12" spans="2:8">
      <c r="B12" s="552" t="str">
        <f>'Workbook Index'!B29</f>
        <v>Brussels Sprouts</v>
      </c>
      <c r="C12" s="1250">
        <v>0.49999999999999994</v>
      </c>
      <c r="D12" s="1251">
        <f>C12*'BW1-Bed and Row Spacing'!$J11</f>
        <v>3350.7692307692305</v>
      </c>
      <c r="E12" s="844"/>
    </row>
    <row r="13" spans="2:8">
      <c r="B13" s="552" t="str">
        <f>'Workbook Index'!B30</f>
        <v>Cabbage</v>
      </c>
      <c r="C13" s="1250">
        <v>1.51</v>
      </c>
      <c r="D13" s="1251">
        <f>C13*'BW1-Bed and Row Spacing'!$J12</f>
        <v>10119.323076923078</v>
      </c>
      <c r="E13" s="844"/>
    </row>
    <row r="14" spans="2:8">
      <c r="B14" s="552" t="str">
        <f>'Workbook Index'!B31</f>
        <v>Carrots</v>
      </c>
      <c r="C14" s="1250">
        <v>0.65</v>
      </c>
      <c r="D14" s="1251">
        <f>C14*'BW1-Bed and Row Spacing'!$J13</f>
        <v>4356</v>
      </c>
      <c r="E14" s="844"/>
    </row>
    <row r="15" spans="2:8">
      <c r="B15" s="552" t="str">
        <f>'Workbook Index'!B32</f>
        <v>Cauliflower</v>
      </c>
      <c r="C15" s="1250">
        <v>0.56666666666666676</v>
      </c>
      <c r="D15" s="1251">
        <f>C15*'BW1-Bed and Row Spacing'!$J14</f>
        <v>3797.5384615384623</v>
      </c>
      <c r="E15" s="844"/>
    </row>
    <row r="16" spans="2:8">
      <c r="B16" s="552" t="str">
        <f>'Workbook Index'!B33</f>
        <v>Chard, Swiss</v>
      </c>
      <c r="C16" s="1250">
        <v>1.1266666666666667</v>
      </c>
      <c r="D16" s="1251">
        <f>C16*'BW1-Bed and Row Spacing'!$J15</f>
        <v>7550.4000000000005</v>
      </c>
      <c r="E16" s="844"/>
    </row>
    <row r="17" spans="2:5">
      <c r="B17" s="552" t="str">
        <f>'Workbook Index'!B34</f>
        <v>Corn, Sweet</v>
      </c>
      <c r="C17" s="1250">
        <v>0.50666666666666671</v>
      </c>
      <c r="D17" s="1251">
        <f>C17*'BW1-Bed and Row Spacing'!$J16</f>
        <v>3395.4461538461542</v>
      </c>
      <c r="E17" s="844"/>
    </row>
    <row r="18" spans="2:5">
      <c r="B18" s="552" t="str">
        <f>'Workbook Index'!B35</f>
        <v>Cucumbers</v>
      </c>
      <c r="C18" s="1250">
        <v>2.083333333333333</v>
      </c>
      <c r="D18" s="1251">
        <f>C18*'BW1-Bed and Row Spacing'!$J17</f>
        <v>8642.8571428571413</v>
      </c>
      <c r="E18" s="844"/>
    </row>
    <row r="19" spans="2:5">
      <c r="B19" s="552" t="str">
        <f>'Workbook Index'!B36</f>
        <v>Eggplant</v>
      </c>
      <c r="C19" s="1250">
        <v>2.0194444444444444</v>
      </c>
      <c r="D19" s="1251">
        <f>C19*'BW1-Bed and Row Spacing'!$J18</f>
        <v>8377.8095238095229</v>
      </c>
      <c r="E19" s="844"/>
    </row>
    <row r="20" spans="2:5">
      <c r="B20" s="552" t="str">
        <f>'Workbook Index'!B37</f>
        <v>Garlic</v>
      </c>
      <c r="C20" s="1250">
        <v>0.155</v>
      </c>
      <c r="D20" s="1251">
        <f>C20*'BW1-Bed and Row Spacing'!$J19</f>
        <v>964.54285714285709</v>
      </c>
      <c r="E20" s="844"/>
    </row>
    <row r="21" spans="2:5">
      <c r="B21" s="552" t="str">
        <f>'Workbook Index'!B38</f>
        <v>Greens, Kale/Collards</v>
      </c>
      <c r="C21" s="1250">
        <v>0.75666666666666671</v>
      </c>
      <c r="D21" s="1251">
        <f>C21*'BW1-Bed and Row Spacing'!$J20</f>
        <v>5070.8307692307699</v>
      </c>
      <c r="E21" s="844"/>
    </row>
    <row r="22" spans="2:5">
      <c r="B22" s="552" t="str">
        <f>'Workbook Index'!B39</f>
        <v>Greens, Salad</v>
      </c>
      <c r="C22" s="1250">
        <v>0.4366666666666667</v>
      </c>
      <c r="D22" s="1251">
        <f>C22*'BW1-Bed and Row Spacing'!$J21</f>
        <v>2926.3384615384621</v>
      </c>
      <c r="E22" s="844"/>
    </row>
    <row r="23" spans="2:5">
      <c r="B23" s="552" t="str">
        <f>'Workbook Index'!B40</f>
        <v>Herbs, Summer Annual</v>
      </c>
      <c r="C23" s="1250">
        <v>0.69249999999999989</v>
      </c>
      <c r="D23" s="1251">
        <f>C23*'BW1-Bed and Row Spacing'!$J22</f>
        <v>4640.8153846153846</v>
      </c>
      <c r="E23" s="844"/>
    </row>
    <row r="24" spans="2:5">
      <c r="B24" s="552" t="str">
        <f>'Workbook Index'!B41</f>
        <v>Kohlrabi</v>
      </c>
      <c r="C24" s="1250">
        <v>0.85</v>
      </c>
      <c r="D24" s="1251">
        <f>C24*'BW1-Bed and Row Spacing'!$J23</f>
        <v>5696.3076923076924</v>
      </c>
      <c r="E24" s="844"/>
    </row>
    <row r="25" spans="2:5">
      <c r="B25" s="552" t="str">
        <f>'Workbook Index'!B42</f>
        <v>Leeks</v>
      </c>
      <c r="C25" s="1250">
        <v>0.30666666666666664</v>
      </c>
      <c r="D25" s="1251">
        <f>C25*'BW1-Bed and Row Spacing'!$J24</f>
        <v>2055.1384615384613</v>
      </c>
      <c r="E25" s="844"/>
    </row>
    <row r="26" spans="2:5">
      <c r="B26" s="552" t="str">
        <f>'Workbook Index'!B43</f>
        <v>Lettuce, Head</v>
      </c>
      <c r="C26" s="1250">
        <v>1.3133333333333335</v>
      </c>
      <c r="D26" s="1251">
        <f>C26*'BW1-Bed and Row Spacing'!$J25</f>
        <v>8801.3538461538483</v>
      </c>
      <c r="E26" s="844"/>
    </row>
    <row r="27" spans="2:5">
      <c r="B27" s="552" t="str">
        <f>'Workbook Index'!B44</f>
        <v>Muskmelon (Cantaloupe)</v>
      </c>
      <c r="C27" s="1250">
        <v>2.37</v>
      </c>
      <c r="D27" s="1251">
        <f>C27*'BW1-Bed and Row Spacing'!$J26</f>
        <v>4916.0571428571429</v>
      </c>
      <c r="E27" s="844"/>
    </row>
    <row r="28" spans="2:5">
      <c r="B28" s="552" t="str">
        <f>'Workbook Index'!B45</f>
        <v>Onions, Bulb</v>
      </c>
      <c r="C28" s="1250">
        <v>1</v>
      </c>
      <c r="D28" s="1251">
        <f>C28*'BW1-Bed and Row Spacing'!$J27</f>
        <v>6701.5384615384619</v>
      </c>
      <c r="E28" s="844"/>
    </row>
    <row r="29" spans="2:5">
      <c r="B29" s="552" t="str">
        <f>'Workbook Index'!B46</f>
        <v>Peppers</v>
      </c>
      <c r="C29" s="1250">
        <v>2.0350000000000001</v>
      </c>
      <c r="D29" s="1251">
        <f>C29*'BW1-Bed and Row Spacing'!$J28</f>
        <v>8442.3428571428576</v>
      </c>
      <c r="E29" s="844"/>
    </row>
    <row r="30" spans="2:5">
      <c r="B30" s="552" t="str">
        <f>'Workbook Index'!B47</f>
        <v>Potatoes</v>
      </c>
      <c r="C30" s="1250">
        <v>0.83333333333333337</v>
      </c>
      <c r="D30" s="1251">
        <f>C30*'BW1-Bed and Row Spacing'!$J29</f>
        <v>4033.3333333333335</v>
      </c>
      <c r="E30" s="844"/>
    </row>
    <row r="31" spans="2:5">
      <c r="B31" s="552" t="str">
        <f>'Workbook Index'!B48</f>
        <v>Potatoes, Sweet</v>
      </c>
      <c r="C31" s="1250">
        <v>3.1633333333333336</v>
      </c>
      <c r="D31" s="1251">
        <f>C31*'BW1-Bed and Row Spacing'!$J30</f>
        <v>6561.6571428571433</v>
      </c>
      <c r="E31" s="844"/>
    </row>
    <row r="32" spans="2:5">
      <c r="B32" s="552" t="str">
        <f>'Workbook Index'!B49</f>
        <v>Roots, Radish/Turnip</v>
      </c>
      <c r="C32" s="1250">
        <v>0.73333333333333339</v>
      </c>
      <c r="D32" s="1251">
        <f>C32*'BW1-Bed and Row Spacing'!$J31</f>
        <v>4914.461538461539</v>
      </c>
      <c r="E32" s="844"/>
    </row>
    <row r="33" spans="2:16">
      <c r="B33" s="552" t="str">
        <f>'Workbook Index'!B50</f>
        <v>Scallions</v>
      </c>
      <c r="C33" s="1250">
        <v>0.36499999999999999</v>
      </c>
      <c r="D33" s="1251">
        <f>C33*'BW1-Bed and Row Spacing'!$J32</f>
        <v>2446.0615384615385</v>
      </c>
      <c r="E33" s="844"/>
    </row>
    <row r="34" spans="2:16">
      <c r="B34" s="552" t="str">
        <f>'Workbook Index'!B51</f>
        <v>Squash, Summer</v>
      </c>
      <c r="C34" s="1250">
        <v>3.9750000000000001</v>
      </c>
      <c r="D34" s="1251">
        <f>C34*'BW1-Bed and Row Spacing'!$J33</f>
        <v>8245.2857142857138</v>
      </c>
      <c r="E34" s="844"/>
    </row>
    <row r="35" spans="2:16">
      <c r="B35" s="552" t="str">
        <f>'Workbook Index'!B52</f>
        <v>Squash, Winter</v>
      </c>
      <c r="C35" s="1250">
        <v>3.11</v>
      </c>
      <c r="D35" s="1251">
        <f>C35*'BW1-Bed and Row Spacing'!$J34</f>
        <v>6451.028571428571</v>
      </c>
      <c r="E35" s="844"/>
    </row>
    <row r="36" spans="2:16">
      <c r="B36" s="552" t="str">
        <f>'Workbook Index'!B53</f>
        <v>Tomatoes</v>
      </c>
      <c r="C36" s="1250">
        <v>6.5</v>
      </c>
      <c r="D36" s="1251">
        <f>C36*'BW1-Bed and Row Spacing'!$J35</f>
        <v>11797.5</v>
      </c>
      <c r="E36" s="844"/>
    </row>
    <row r="37" spans="2:16">
      <c r="B37" s="552" t="str">
        <f>'Workbook Index'!B54</f>
        <v>Watermelon</v>
      </c>
      <c r="C37" s="1250">
        <v>6.46</v>
      </c>
      <c r="D37" s="1251">
        <f>C37*'BW1-Bed and Row Spacing'!$J36</f>
        <v>13399.885714285714</v>
      </c>
      <c r="E37" s="844"/>
    </row>
    <row r="38" spans="2:16" ht="18">
      <c r="B38" s="1257" t="s">
        <v>934</v>
      </c>
      <c r="C38" s="1255">
        <v>1.4378125000000002</v>
      </c>
      <c r="D38" s="1256">
        <f>C38*'BW1-Bed and Row Spacing'!$J37</f>
        <v>5964.8678571428572</v>
      </c>
      <c r="E38" s="844"/>
    </row>
    <row r="39" spans="2:16" s="552" customFormat="1" ht="38" customHeight="1">
      <c r="B39" s="1327" t="s">
        <v>844</v>
      </c>
      <c r="C39" s="1328"/>
      <c r="D39" s="1328"/>
    </row>
    <row r="40" spans="2:16" ht="35" customHeight="1">
      <c r="B40" s="1328" t="s">
        <v>845</v>
      </c>
      <c r="C40" s="1328"/>
      <c r="D40" s="1328"/>
      <c r="H40" s="552"/>
      <c r="I40" s="552"/>
      <c r="J40" s="552"/>
      <c r="K40" s="449"/>
      <c r="L40" s="449"/>
      <c r="M40" s="449"/>
      <c r="N40" s="449"/>
      <c r="O40" s="449"/>
    </row>
    <row r="41" spans="2:16" ht="49" customHeight="1">
      <c r="B41" s="1327" t="s">
        <v>846</v>
      </c>
      <c r="C41" s="1327"/>
      <c r="D41" s="1327"/>
      <c r="M41" s="1058"/>
      <c r="N41" s="1058"/>
      <c r="O41" s="1058"/>
      <c r="P41" s="1057"/>
    </row>
    <row r="78" spans="1:12" ht="33" customHeight="1">
      <c r="A78" s="552"/>
      <c r="B78" s="1070"/>
      <c r="C78" s="949"/>
      <c r="D78" s="1056"/>
      <c r="E78" s="1069"/>
      <c r="F78" s="1069"/>
      <c r="G78" s="1054"/>
      <c r="H78" s="1054"/>
      <c r="I78" s="1055"/>
      <c r="J78" s="449"/>
      <c r="L78" s="1054"/>
    </row>
    <row r="79" spans="1:12">
      <c r="F79" s="552"/>
      <c r="G79" s="552"/>
      <c r="H79" s="552"/>
      <c r="I79" s="552"/>
    </row>
    <row r="80" spans="1:12">
      <c r="F80" s="552"/>
      <c r="G80" s="552"/>
      <c r="H80" s="552"/>
    </row>
    <row r="81" spans="6:8">
      <c r="F81" s="552"/>
      <c r="G81" s="552"/>
      <c r="H81" s="552"/>
    </row>
    <row r="82" spans="6:8" s="807" customFormat="1">
      <c r="F82" s="449"/>
      <c r="G82" s="449"/>
      <c r="H82" s="449"/>
    </row>
    <row r="114" ht="15" customHeight="1"/>
    <row r="116" ht="19" customHeight="1"/>
  </sheetData>
  <sheetProtection sheet="1" objects="1" scenarios="1"/>
  <mergeCells count="6">
    <mergeCell ref="E2:F2"/>
    <mergeCell ref="B39:D39"/>
    <mergeCell ref="B40:D40"/>
    <mergeCell ref="B41:D41"/>
    <mergeCell ref="B6:D6"/>
    <mergeCell ref="B4:F4"/>
  </mergeCells>
  <hyperlinks>
    <hyperlink ref="E2" location="'Workbook Index'!A1" display="Back to Workbook Index"/>
    <hyperlink ref="F2" location="'Workbook Index'!A1" display="'Workbook Index'!A1"/>
  </hyperlinks>
  <pageMargins left="0.75" right="0.75" top="1" bottom="1" header="0.5" footer="0.5"/>
  <pageSetup fitToHeight="2" orientation="portrait" horizontalDpi="4294967292" verticalDpi="4294967292"/>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73"/>
  <sheetViews>
    <sheetView showGridLines="0" view="pageLayout" topLeftCell="A46" zoomScaleNormal="75" zoomScalePageLayoutView="75" workbookViewId="0">
      <selection activeCell="B41" sqref="B41"/>
    </sheetView>
  </sheetViews>
  <sheetFormatPr baseColWidth="10" defaultColWidth="8.7109375" defaultRowHeight="15" x14ac:dyDescent="0"/>
  <cols>
    <col min="1" max="1" width="1" style="109" customWidth="1"/>
    <col min="2" max="2" width="43.42578125" style="109" customWidth="1"/>
    <col min="3" max="6" width="17.85546875" style="109" customWidth="1"/>
    <col min="7" max="7" width="9" style="109" customWidth="1"/>
    <col min="8" max="8" width="16.7109375" style="109" customWidth="1"/>
    <col min="9" max="9" width="11.42578125" style="109" customWidth="1"/>
    <col min="10" max="10" width="45.42578125" style="109" customWidth="1"/>
    <col min="11" max="11" width="12" style="109" customWidth="1"/>
    <col min="12" max="12" width="14.7109375" style="109" customWidth="1"/>
    <col min="13" max="13" width="12.7109375" style="109" customWidth="1"/>
    <col min="14" max="14" width="13.5703125" style="109" customWidth="1"/>
    <col min="15" max="15" width="14.42578125" style="109" customWidth="1"/>
    <col min="16" max="16" width="11.85546875" style="109" customWidth="1"/>
    <col min="17" max="17" width="8.7109375" style="109"/>
    <col min="18" max="18" width="14.42578125" style="109" customWidth="1"/>
    <col min="19" max="21" width="8.7109375" style="109"/>
    <col min="22" max="22" width="11.5703125" style="109" customWidth="1"/>
    <col min="23" max="16384" width="8.7109375" style="109"/>
  </cols>
  <sheetData>
    <row r="1" spans="2:17" ht="16" thickBot="1">
      <c r="F1" s="563"/>
      <c r="G1" s="1263" t="s">
        <v>512</v>
      </c>
      <c r="H1" s="1264"/>
    </row>
    <row r="2" spans="2:17" s="108" customFormat="1" ht="25" customHeight="1">
      <c r="B2" s="1026" t="str">
        <f>'Workbook Index'!$B$26</f>
        <v>Beans, Green</v>
      </c>
      <c r="C2" s="221"/>
      <c r="D2" s="221"/>
      <c r="E2" s="221"/>
      <c r="I2" s="564"/>
    </row>
    <row r="3" spans="2:17" ht="33.5" customHeight="1">
      <c r="B3" s="1027" t="s">
        <v>716</v>
      </c>
      <c r="C3" s="448" t="s">
        <v>367</v>
      </c>
      <c r="D3" s="552"/>
      <c r="E3" s="926" t="s">
        <v>14</v>
      </c>
      <c r="F3" s="926"/>
      <c r="G3" s="926"/>
      <c r="H3" s="552"/>
      <c r="I3" s="128"/>
      <c r="J3" s="129"/>
      <c r="K3" s="111"/>
      <c r="L3" s="111"/>
      <c r="M3" s="111"/>
      <c r="N3" s="111"/>
      <c r="O3" s="111"/>
    </row>
    <row r="4" spans="2:17">
      <c r="B4" s="927"/>
      <c r="C4" s="448" t="s">
        <v>47</v>
      </c>
      <c r="D4" s="552"/>
      <c r="E4" s="1066">
        <f>'BW1-Bed and Row Spacing'!$J$8</f>
        <v>6701.5384615384619</v>
      </c>
      <c r="F4" s="926"/>
      <c r="G4" s="926"/>
      <c r="H4" s="552"/>
      <c r="I4" s="128"/>
      <c r="J4" s="111"/>
      <c r="K4" s="111"/>
      <c r="L4" s="111"/>
      <c r="M4" s="111"/>
      <c r="N4" s="111"/>
      <c r="O4" s="111"/>
    </row>
    <row r="5" spans="2:17" ht="15" customHeight="1">
      <c r="B5" s="448"/>
      <c r="C5" s="448" t="s">
        <v>366</v>
      </c>
      <c r="D5" s="552"/>
      <c r="E5" s="1332" t="s">
        <v>832</v>
      </c>
      <c r="F5" s="1332"/>
      <c r="G5" s="1332"/>
      <c r="H5" s="1332"/>
      <c r="I5" s="224"/>
      <c r="J5" s="111"/>
      <c r="K5" s="111"/>
      <c r="L5" s="111"/>
      <c r="M5" s="111"/>
      <c r="N5" s="111"/>
      <c r="O5" s="111"/>
    </row>
    <row r="6" spans="2:17">
      <c r="B6" s="114"/>
      <c r="C6" s="448"/>
      <c r="D6" s="552"/>
      <c r="E6" s="1333"/>
      <c r="F6" s="1333"/>
      <c r="G6" s="1333"/>
      <c r="H6" s="1333"/>
      <c r="I6" s="224"/>
      <c r="J6" s="111"/>
      <c r="K6" s="111"/>
      <c r="L6" s="111"/>
    </row>
    <row r="7" spans="2:17" s="108" customFormat="1">
      <c r="B7" s="1032"/>
      <c r="C7" s="1033"/>
      <c r="D7" s="1033"/>
      <c r="E7" s="1033"/>
      <c r="F7" s="1033"/>
      <c r="G7" s="1033"/>
      <c r="H7" s="1033"/>
    </row>
    <row r="8" spans="2:17" s="108" customFormat="1">
      <c r="B8" s="553" t="s">
        <v>517</v>
      </c>
      <c r="C8" s="452"/>
      <c r="D8" s="452"/>
      <c r="E8" s="452"/>
      <c r="F8" s="452"/>
      <c r="G8" s="452"/>
      <c r="H8" s="452"/>
      <c r="I8" s="109"/>
    </row>
    <row r="9" spans="2:17" customFormat="1" ht="33" customHeight="1">
      <c r="B9" s="420" t="s">
        <v>711</v>
      </c>
      <c r="C9" s="421" t="s">
        <v>707</v>
      </c>
      <c r="D9" s="421" t="s">
        <v>708</v>
      </c>
      <c r="E9" s="421" t="s">
        <v>709</v>
      </c>
      <c r="F9" s="421" t="s">
        <v>710</v>
      </c>
      <c r="G9" s="919"/>
      <c r="H9" s="920"/>
      <c r="M9" s="112"/>
      <c r="N9" s="112"/>
      <c r="O9" s="112"/>
      <c r="P9" s="6"/>
      <c r="Q9" s="6"/>
    </row>
    <row r="10" spans="2:17" customFormat="1" ht="30">
      <c r="B10" s="993" t="s">
        <v>516</v>
      </c>
      <c r="C10" s="991" t="s">
        <v>849</v>
      </c>
      <c r="D10" s="991" t="s">
        <v>849</v>
      </c>
      <c r="E10" s="991" t="s">
        <v>849</v>
      </c>
      <c r="F10" s="991" t="s">
        <v>850</v>
      </c>
      <c r="G10" s="992"/>
      <c r="H10" s="462"/>
      <c r="M10" s="112"/>
      <c r="N10" s="112"/>
      <c r="O10" s="6"/>
      <c r="P10" s="6"/>
    </row>
    <row r="11" spans="2:17" ht="16" customHeight="1">
      <c r="B11" s="921" t="s">
        <v>181</v>
      </c>
      <c r="C11" s="962"/>
      <c r="D11" s="963"/>
      <c r="E11" s="963"/>
      <c r="F11" s="964"/>
      <c r="G11" s="965"/>
      <c r="H11" s="965"/>
      <c r="I11" s="111"/>
    </row>
    <row r="12" spans="2:17" ht="15" customHeight="1">
      <c r="B12" s="552" t="s">
        <v>145</v>
      </c>
      <c r="C12" s="946">
        <f>'BW2-Field Act. Labor &amp; Mach.'!$I$9</f>
        <v>9.23447</v>
      </c>
      <c r="D12" s="947">
        <f>'BW2-Field Act. Labor &amp; Mach.'!$K$9</f>
        <v>7.1626812745625896</v>
      </c>
      <c r="E12" s="947">
        <f>'BW2-Field Act. Labor &amp; Mach.'!$L$9</f>
        <v>6.5697668891297312</v>
      </c>
      <c r="F12" s="948"/>
      <c r="G12" s="949"/>
      <c r="H12" s="949"/>
      <c r="I12" s="124"/>
    </row>
    <row r="13" spans="2:17" ht="15" customHeight="1">
      <c r="B13" s="448" t="s">
        <v>46</v>
      </c>
      <c r="C13" s="946">
        <f>'BW2-Field Act. Labor &amp; Mach.'!$I$10</f>
        <v>11.87289</v>
      </c>
      <c r="D13" s="947">
        <f>'BW2-Field Act. Labor &amp; Mach.'!$K$10</f>
        <v>16.900081383311999</v>
      </c>
      <c r="E13" s="947">
        <f>'BW2-Field Act. Labor &amp; Mach.'!$L$10</f>
        <v>23.703168100043012</v>
      </c>
      <c r="F13" s="948"/>
      <c r="G13" s="451"/>
      <c r="H13" s="949"/>
      <c r="I13" s="124"/>
    </row>
    <row r="14" spans="2:17" ht="15" customHeight="1">
      <c r="B14" s="927" t="s">
        <v>69</v>
      </c>
      <c r="C14" s="946"/>
      <c r="D14" s="947"/>
      <c r="E14" s="947"/>
      <c r="F14" s="948">
        <f>'BW3-Variable Input'!$C$9</f>
        <v>116.66666666666667</v>
      </c>
      <c r="G14" s="451"/>
      <c r="H14" s="949"/>
      <c r="I14" s="124"/>
    </row>
    <row r="15" spans="2:17" ht="15" customHeight="1">
      <c r="B15" s="448" t="s">
        <v>11</v>
      </c>
      <c r="C15" s="946">
        <f>'BW2-Field Act. Labor &amp; Mach.'!$I$13</f>
        <v>22.426569999999998</v>
      </c>
      <c r="D15" s="947">
        <f>'BW2-Field Act. Labor &amp; Mach.'!$K$13</f>
        <v>17.993866831056</v>
      </c>
      <c r="E15" s="947">
        <f>'BW2-Field Act. Labor &amp; Mach.'!$L$13</f>
        <v>44.771770188886023</v>
      </c>
      <c r="F15" s="948"/>
      <c r="G15" s="451"/>
      <c r="H15" s="555"/>
      <c r="I15" s="124"/>
    </row>
    <row r="16" spans="2:17" ht="15" customHeight="1">
      <c r="B16" s="448" t="str">
        <f>'BW2-Field Act. Labor &amp; Mach.'!$B$12</f>
        <v>Field cultivate</v>
      </c>
      <c r="C16" s="946">
        <f>'BW2-Field Act. Labor &amp; Mach.'!$I$12</f>
        <v>6.59605</v>
      </c>
      <c r="D16" s="947">
        <f>'BW2-Field Act. Labor &amp; Mach.'!$K$12</f>
        <v>3.7281613670297151</v>
      </c>
      <c r="E16" s="947">
        <f>'BW2-Field Act. Labor &amp; Mach.'!$L$12</f>
        <v>3.4161206017736747</v>
      </c>
      <c r="F16" s="948"/>
      <c r="G16" s="451"/>
      <c r="H16" s="555"/>
      <c r="I16" s="124"/>
    </row>
    <row r="17" spans="2:9" ht="15" customHeight="1">
      <c r="B17" s="448" t="s">
        <v>12</v>
      </c>
      <c r="C17" s="946">
        <f>'BW2-Field Act. Labor &amp; Mach.'!$I$14</f>
        <v>10.55368</v>
      </c>
      <c r="D17" s="947">
        <f>'BW2-Field Act. Labor &amp; Mach.'!$K$14</f>
        <v>9.2140341759999984</v>
      </c>
      <c r="E17" s="947">
        <f>'BW2-Field Act. Labor &amp; Mach.'!$L$14</f>
        <v>29.935417361494395</v>
      </c>
      <c r="F17" s="948"/>
      <c r="G17" s="451"/>
      <c r="H17" s="555"/>
      <c r="I17" s="124"/>
    </row>
    <row r="18" spans="2:9" ht="15" customHeight="1">
      <c r="B18" s="448" t="s">
        <v>215</v>
      </c>
      <c r="C18" s="946">
        <f>'BW2-Field Act. Labor &amp; Mach.'!$I$15</f>
        <v>59.364449999999998</v>
      </c>
      <c r="D18" s="947">
        <f>'BW2-Field Act. Labor &amp; Mach.'!$K$15</f>
        <v>11.732543673988348</v>
      </c>
      <c r="E18" s="947">
        <f>'BW2-Field Act. Labor &amp; Mach.'!$L$15</f>
        <v>19.938595491388046</v>
      </c>
      <c r="F18" s="948"/>
      <c r="G18" s="449"/>
      <c r="H18" s="555"/>
      <c r="I18" s="124"/>
    </row>
    <row r="19" spans="2:9" ht="15" customHeight="1">
      <c r="B19" s="927" t="s">
        <v>313</v>
      </c>
      <c r="C19" s="946"/>
      <c r="D19" s="947"/>
      <c r="E19" s="947"/>
      <c r="F19" s="948">
        <f>('BW3-Variable Input'!$C$23)</f>
        <v>125.09538461538463</v>
      </c>
      <c r="G19" s="451"/>
      <c r="H19" s="555"/>
      <c r="I19" s="124"/>
    </row>
    <row r="20" spans="2:9" ht="15" customHeight="1">
      <c r="B20" s="950" t="s">
        <v>192</v>
      </c>
      <c r="C20" s="951">
        <f>'BW2-Field Act. Labor &amp; Mach.'!$I$16*2</f>
        <v>21.10736</v>
      </c>
      <c r="D20" s="952">
        <f>'BW2-Field Act. Labor &amp; Mach.'!$K$16*2</f>
        <v>12.051200395575469</v>
      </c>
      <c r="E20" s="952">
        <f>'BW2-Field Act. Labor &amp; Mach.'!$L$16*2</f>
        <v>17.332156747393537</v>
      </c>
      <c r="F20" s="953"/>
      <c r="G20" s="590"/>
      <c r="H20" s="941"/>
      <c r="I20" s="124"/>
    </row>
    <row r="21" spans="2:9" ht="15" customHeight="1">
      <c r="B21" s="448"/>
      <c r="C21" s="451"/>
      <c r="D21" s="451"/>
      <c r="E21" s="451"/>
      <c r="F21" s="451"/>
      <c r="G21" s="451"/>
      <c r="H21" s="555"/>
      <c r="I21" s="124"/>
    </row>
    <row r="22" spans="2:9" ht="15" customHeight="1">
      <c r="B22" s="921" t="s">
        <v>10</v>
      </c>
      <c r="C22" s="955"/>
      <c r="D22" s="956"/>
      <c r="E22" s="956"/>
      <c r="F22" s="957"/>
      <c r="G22" s="958"/>
      <c r="H22" s="933"/>
      <c r="I22" s="124"/>
    </row>
    <row r="23" spans="2:9" ht="15" customHeight="1">
      <c r="B23" s="448" t="str">
        <f>'BW2-Field Act. Labor &amp; Mach.'!$B$20</f>
        <v>Direct seed on bareground</v>
      </c>
      <c r="C23" s="959">
        <f>'BW2-Field Act. Labor &amp; Mach.'!$I$20</f>
        <v>52.7684</v>
      </c>
      <c r="D23" s="947">
        <f>'BW2-Field Act. Labor &amp; Mach.'!$K$20</f>
        <v>17.196459355934465</v>
      </c>
      <c r="E23" s="947">
        <f>'BW2-Field Act. Labor &amp; Mach.'!$L$20</f>
        <v>40.179586989352146</v>
      </c>
      <c r="F23" s="948"/>
      <c r="G23" s="449"/>
      <c r="H23" s="555"/>
      <c r="I23" s="124"/>
    </row>
    <row r="24" spans="2:9" ht="15" customHeight="1">
      <c r="B24" s="927" t="s">
        <v>315</v>
      </c>
      <c r="C24" s="959"/>
      <c r="D24" s="947"/>
      <c r="E24" s="947"/>
      <c r="F24" s="948">
        <f>('BW3-Variable Input'!$C$10)</f>
        <v>124</v>
      </c>
      <c r="G24" s="451"/>
      <c r="H24" s="555"/>
      <c r="I24" s="124"/>
    </row>
    <row r="25" spans="2:9" ht="15" customHeight="1">
      <c r="B25" s="966" t="s">
        <v>65</v>
      </c>
      <c r="C25" s="951"/>
      <c r="D25" s="952"/>
      <c r="E25" s="952"/>
      <c r="F25" s="953">
        <f>'BW3-Variable Input'!$H$161</f>
        <v>201.04615384615386</v>
      </c>
      <c r="G25" s="590"/>
      <c r="H25" s="941"/>
      <c r="I25" s="124"/>
    </row>
    <row r="26" spans="2:9" ht="15" customHeight="1">
      <c r="B26" s="448"/>
      <c r="C26" s="451"/>
      <c r="D26" s="451"/>
      <c r="E26" s="451"/>
      <c r="F26" s="451"/>
      <c r="G26" s="451"/>
      <c r="H26" s="555"/>
      <c r="I26" s="124"/>
    </row>
    <row r="27" spans="2:9" ht="15" customHeight="1">
      <c r="B27" s="921" t="s">
        <v>37</v>
      </c>
      <c r="C27" s="955"/>
      <c r="D27" s="956"/>
      <c r="E27" s="956"/>
      <c r="F27" s="957"/>
      <c r="G27" s="958"/>
      <c r="H27" s="933"/>
      <c r="I27" s="124"/>
    </row>
    <row r="28" spans="2:9" ht="15" customHeight="1">
      <c r="B28" s="22" t="s">
        <v>179</v>
      </c>
      <c r="C28" s="946">
        <f>'BW2-Field Act. Labor &amp; Mach.'!$I$31*2</f>
        <v>10.55368</v>
      </c>
      <c r="D28" s="947">
        <f>'BW2-Field Act. Labor &amp; Mach.'!$K$31*2</f>
        <v>1.6570295666513035</v>
      </c>
      <c r="E28" s="947">
        <f>'BW2-Field Act. Labor &amp; Mach.'!$L$31*2</f>
        <v>27.363002680965153</v>
      </c>
      <c r="F28" s="948"/>
      <c r="G28" s="451"/>
      <c r="H28" s="451"/>
      <c r="I28" s="124"/>
    </row>
    <row r="29" spans="2:9" ht="15" customHeight="1">
      <c r="B29" s="927" t="str">
        <f>'BW5-Irrigation'!$B$8</f>
        <v>Irrigation supply cost</v>
      </c>
      <c r="C29" s="946"/>
      <c r="D29" s="947"/>
      <c r="E29" s="947"/>
      <c r="F29" s="948">
        <f>'BW5-Irrigation'!$E$8</f>
        <v>32.773534158149545</v>
      </c>
      <c r="G29" s="923" t="s">
        <v>851</v>
      </c>
      <c r="H29" s="451"/>
      <c r="I29" s="124"/>
    </row>
    <row r="30" spans="2:9" ht="15" customHeight="1">
      <c r="B30" s="448" t="str">
        <f>'BW5-Irrigation'!$B$9</f>
        <v>Irrigation set-up labor cost</v>
      </c>
      <c r="C30" s="946">
        <f>'BW5-Irrigation'!$E$9</f>
        <v>50.735370890410955</v>
      </c>
      <c r="D30" s="947"/>
      <c r="E30" s="947"/>
      <c r="F30" s="948"/>
      <c r="G30" s="923" t="s">
        <v>851</v>
      </c>
      <c r="H30" s="451"/>
      <c r="I30" s="124"/>
    </row>
    <row r="31" spans="2:9" ht="15" customHeight="1">
      <c r="B31" s="448" t="s">
        <v>294</v>
      </c>
      <c r="C31" s="946">
        <f>'BW2-Field Act. Labor &amp; Mach.'!$I$39*'BW5-Irrigation'!$C$13</f>
        <v>158.30520000000001</v>
      </c>
      <c r="D31" s="947"/>
      <c r="E31" s="947"/>
      <c r="F31" s="948"/>
      <c r="G31" s="923"/>
      <c r="H31" s="451"/>
      <c r="I31" s="124"/>
    </row>
    <row r="32" spans="2:9" ht="15" customHeight="1">
      <c r="B32" s="22" t="str">
        <f>'BW2-Field Act. Labor &amp; Mach.'!$B$32</f>
        <v>Seed buckwheat on plot edge</v>
      </c>
      <c r="C32" s="946">
        <f>'BW2-Field Act. Labor &amp; Mach.'!$I$32</f>
        <v>6.59605</v>
      </c>
      <c r="D32" s="947">
        <f>'BW2-Field Act. Labor &amp; Mach.'!$K$32</f>
        <v>0.70423756582680397</v>
      </c>
      <c r="E32" s="947">
        <f>'BW2-Field Act. Labor &amp; Mach.'!$L$32</f>
        <v>11.629276139410191</v>
      </c>
      <c r="F32" s="948"/>
      <c r="G32" s="451"/>
      <c r="H32" s="555"/>
      <c r="I32" s="124"/>
    </row>
    <row r="33" spans="2:9" ht="15" customHeight="1">
      <c r="B33" s="764" t="str">
        <f>'BW3-Variable Input'!$B$36</f>
        <v>Buckwheat seed for edge of field</v>
      </c>
      <c r="C33" s="946"/>
      <c r="D33" s="947"/>
      <c r="E33" s="947"/>
      <c r="F33" s="948">
        <f>'BW3-Variable Input'!$C$36</f>
        <v>8.8000000000000007</v>
      </c>
      <c r="G33" s="451"/>
      <c r="H33" s="555"/>
      <c r="I33" s="124"/>
    </row>
    <row r="34" spans="2:9" ht="15" customHeight="1">
      <c r="B34" s="22" t="s">
        <v>194</v>
      </c>
      <c r="C34" s="946">
        <f>'BW2-Field Act. Labor &amp; Mach.'!$I$28*2</f>
        <v>21.10736</v>
      </c>
      <c r="D34" s="947">
        <f>'BW2-Field Act. Labor &amp; Mach.'!$K$28*2</f>
        <v>8.7132183142146751</v>
      </c>
      <c r="E34" s="947">
        <f>'BW2-Field Act. Labor &amp; Mach.'!$L$28*2</f>
        <v>23.101468332237562</v>
      </c>
      <c r="F34" s="948"/>
      <c r="G34" s="451"/>
      <c r="H34" s="555"/>
      <c r="I34" s="435"/>
    </row>
    <row r="35" spans="2:9" ht="15" customHeight="1">
      <c r="B35" s="22" t="str">
        <f>'BW2-Field Act. Labor &amp; Mach.'!$B$34</f>
        <v>Scuffle hoe</v>
      </c>
      <c r="C35" s="946">
        <f>'BW2-Field Act. Labor &amp; Mach.'!$I$34</f>
        <v>98.940749999999994</v>
      </c>
      <c r="D35" s="947"/>
      <c r="E35" s="947"/>
      <c r="F35" s="948"/>
      <c r="G35" s="451"/>
      <c r="H35" s="555"/>
      <c r="I35" s="124"/>
    </row>
    <row r="36" spans="2:9" ht="15" customHeight="1">
      <c r="B36" s="22" t="s">
        <v>180</v>
      </c>
      <c r="C36" s="946">
        <f>'BW2-Field Act. Labor &amp; Mach.'!$I$29*2</f>
        <v>63.32208</v>
      </c>
      <c r="D36" s="947">
        <f>'BW2-Field Act. Labor &amp; Mach.'!$K$29*2</f>
        <v>18.849340278005133</v>
      </c>
      <c r="E36" s="947">
        <f>'BW2-Field Act. Labor &amp; Mach.'!$L$29*2</f>
        <v>51.654848024316109</v>
      </c>
      <c r="F36" s="948"/>
      <c r="G36" s="451"/>
      <c r="H36" s="555"/>
      <c r="I36" s="124"/>
    </row>
    <row r="37" spans="2:9" ht="15" customHeight="1">
      <c r="B37" s="22" t="s">
        <v>326</v>
      </c>
      <c r="C37" s="946">
        <f>'BW2-Field Act. Labor &amp; Mach.'!$I$37*3</f>
        <v>39.576300000000003</v>
      </c>
      <c r="D37" s="947">
        <f>'BW2-Field Act. Labor &amp; Mach.'!$K$37*3</f>
        <v>30.546664935780097</v>
      </c>
      <c r="E37" s="947">
        <f>'BW2-Field Act. Labor &amp; Mach.'!$L$37*3</f>
        <v>39.314799296778247</v>
      </c>
      <c r="F37" s="948"/>
      <c r="G37" s="451"/>
      <c r="H37" s="555"/>
      <c r="I37" s="124"/>
    </row>
    <row r="38" spans="2:9" ht="15" customHeight="1">
      <c r="B38" s="967" t="s">
        <v>501</v>
      </c>
      <c r="C38" s="951"/>
      <c r="D38" s="952"/>
      <c r="E38" s="952"/>
      <c r="F38" s="953">
        <f>'BW3-Variable Input'!$C$54</f>
        <v>105.79815187376725</v>
      </c>
      <c r="G38" s="590"/>
      <c r="H38" s="590"/>
      <c r="I38" s="124"/>
    </row>
    <row r="39" spans="2:9" ht="15" customHeight="1">
      <c r="B39" s="817" t="s">
        <v>508</v>
      </c>
      <c r="C39" s="444">
        <f>SUM(C12:C20, C23:C25,C28:C38)</f>
        <v>643.06066089041087</v>
      </c>
      <c r="D39" s="444">
        <f>SUM(D12:D20, D23:D25,D28:D38)</f>
        <v>156.44951911793657</v>
      </c>
      <c r="E39" s="444">
        <f>SUM(E12:E20, E23:E25,E28:E38)</f>
        <v>338.90997684316778</v>
      </c>
      <c r="F39" s="444">
        <f>SUM(F12:F20, F23:F25,F28:F38)</f>
        <v>714.17989116012188</v>
      </c>
      <c r="G39" s="445" t="s">
        <v>4</v>
      </c>
      <c r="H39" s="446">
        <f>C39+D39+E39+F39</f>
        <v>1852.6000480116372</v>
      </c>
    </row>
    <row r="40" spans="2:9" s="120" customFormat="1">
      <c r="B40" s="593"/>
      <c r="C40" s="449"/>
      <c r="D40" s="449"/>
      <c r="E40" s="449"/>
      <c r="F40" s="449"/>
      <c r="G40" s="449"/>
      <c r="H40" s="449"/>
    </row>
    <row r="41" spans="2:9" s="119" customFormat="1" ht="15" customHeight="1">
      <c r="B41" s="116" t="s">
        <v>914</v>
      </c>
      <c r="C41" s="451"/>
      <c r="D41" s="451"/>
      <c r="E41" s="451"/>
      <c r="F41" s="451"/>
      <c r="G41" s="807"/>
      <c r="H41" s="960"/>
      <c r="I41" s="120"/>
    </row>
    <row r="42" spans="2:9" ht="15" customHeight="1">
      <c r="B42" s="921" t="s">
        <v>3</v>
      </c>
      <c r="C42" s="943"/>
      <c r="D42" s="944"/>
      <c r="E42" s="944"/>
      <c r="F42" s="945"/>
      <c r="G42" s="589"/>
      <c r="H42" s="589"/>
      <c r="I42" s="115"/>
    </row>
    <row r="43" spans="2:9" ht="15" customHeight="1">
      <c r="B43" s="448" t="s">
        <v>182</v>
      </c>
      <c r="C43" s="946">
        <f>'BW6-Harvest and Wash-Pack'!$D$8</f>
        <v>290.22620000000001</v>
      </c>
      <c r="D43" s="947">
        <f>'BW2-Field Act. Labor &amp; Mach.'!$K$58</f>
        <v>49.581466879999994</v>
      </c>
      <c r="E43" s="947">
        <f>'BW2-Field Act. Labor &amp; Mach.'!$L$58</f>
        <v>509.4044418799358</v>
      </c>
      <c r="F43" s="948"/>
      <c r="G43" s="923" t="s">
        <v>852</v>
      </c>
      <c r="H43" s="555"/>
      <c r="I43" s="120"/>
    </row>
    <row r="44" spans="2:9" ht="15" customHeight="1">
      <c r="B44" s="448" t="s">
        <v>349</v>
      </c>
      <c r="C44" s="946">
        <f>'BW6-Harvest and Wash-Pack'!$F$8</f>
        <v>791.52599999999995</v>
      </c>
      <c r="D44" s="947"/>
      <c r="E44" s="947"/>
      <c r="F44" s="948"/>
      <c r="G44" s="923" t="s">
        <v>852</v>
      </c>
      <c r="H44" s="555"/>
      <c r="I44" s="120"/>
    </row>
    <row r="45" spans="2:9" ht="15" customHeight="1">
      <c r="B45" s="966" t="str">
        <f>'BW3-Variable Input'!$B$68</f>
        <v>Plastic produce bags</v>
      </c>
      <c r="C45" s="951"/>
      <c r="D45" s="952"/>
      <c r="E45" s="952"/>
      <c r="F45" s="953">
        <f>'BW3-Variable Input'!$C$68</f>
        <v>62.749694749694754</v>
      </c>
      <c r="G45" s="590"/>
      <c r="H45" s="941"/>
      <c r="I45" s="124"/>
    </row>
    <row r="46" spans="2:9" ht="15" customHeight="1">
      <c r="B46" s="817" t="s">
        <v>508</v>
      </c>
      <c r="C46" s="444">
        <f>SUM(C43:C45)</f>
        <v>1081.7521999999999</v>
      </c>
      <c r="D46" s="444">
        <f>SUM(D43:D45)</f>
        <v>49.581466879999994</v>
      </c>
      <c r="E46" s="444">
        <f>SUM(E43:E45)</f>
        <v>509.4044418799358</v>
      </c>
      <c r="F46" s="444">
        <f>SUM(F43:F45)</f>
        <v>62.749694749694754</v>
      </c>
      <c r="G46" s="445" t="s">
        <v>4</v>
      </c>
      <c r="H46" s="446">
        <f>C46+D46+E46+F46</f>
        <v>1703.4878035096303</v>
      </c>
    </row>
    <row r="47" spans="2:9" s="120" customFormat="1">
      <c r="B47" s="593"/>
      <c r="C47" s="449"/>
      <c r="D47" s="449"/>
      <c r="E47" s="449"/>
      <c r="F47" s="449"/>
      <c r="G47" s="449"/>
      <c r="H47" s="449"/>
    </row>
    <row r="48" spans="2:9" s="119" customFormat="1" ht="15" customHeight="1">
      <c r="B48" s="116" t="s">
        <v>662</v>
      </c>
      <c r="C48" s="451"/>
      <c r="D48" s="451"/>
      <c r="E48" s="451"/>
      <c r="F48" s="451"/>
      <c r="G48" s="807"/>
      <c r="H48" s="960"/>
      <c r="I48" s="120"/>
    </row>
    <row r="49" spans="2:10" ht="15" customHeight="1">
      <c r="B49" s="921" t="s">
        <v>663</v>
      </c>
      <c r="C49" s="955"/>
      <c r="D49" s="956"/>
      <c r="E49" s="956"/>
      <c r="F49" s="957"/>
      <c r="G49" s="958"/>
      <c r="H49" s="933"/>
      <c r="I49" s="124"/>
    </row>
    <row r="50" spans="2:10" ht="15" customHeight="1">
      <c r="B50" s="22" t="s">
        <v>43</v>
      </c>
      <c r="C50" s="946">
        <f>'BW2-Field Act. Labor &amp; Mach.'!$I$66</f>
        <v>5.27684</v>
      </c>
      <c r="D50" s="947">
        <f>'BW2-Field Act. Labor &amp; Mach.'!$K$66</f>
        <v>4.7393418269465482</v>
      </c>
      <c r="E50" s="947">
        <f>'BW2-Field Act. Labor &amp; Mach.'!$L$66</f>
        <v>4.8215303303156709</v>
      </c>
      <c r="F50" s="948"/>
      <c r="G50" s="451"/>
      <c r="H50" s="555"/>
      <c r="I50" s="124"/>
    </row>
    <row r="51" spans="2:10" ht="15" customHeight="1">
      <c r="B51" s="448" t="s">
        <v>150</v>
      </c>
      <c r="C51" s="946">
        <f>'BW2-Field Act. Labor &amp; Mach.'!$I$65</f>
        <v>42.21472</v>
      </c>
      <c r="D51" s="947">
        <f>'BW2-Field Act. Labor &amp; Mach.'!$K$65</f>
        <v>3.4075700159999998</v>
      </c>
      <c r="E51" s="947">
        <f>'BW2-Field Act. Labor &amp; Mach.'!$L$65</f>
        <v>2.89283314099518</v>
      </c>
      <c r="F51" s="948"/>
      <c r="G51" s="451"/>
      <c r="H51" s="555"/>
      <c r="I51" s="124"/>
    </row>
    <row r="52" spans="2:10" ht="15" customHeight="1">
      <c r="B52" s="22" t="s">
        <v>44</v>
      </c>
      <c r="C52" s="946">
        <f>'BW2-Field Act. Labor &amp; Mach.'!$I$67</f>
        <v>5.27684</v>
      </c>
      <c r="D52" s="947">
        <f>'BW2-Field Act. Labor &amp; Mach.'!$K$67</f>
        <v>4.5754035882945541</v>
      </c>
      <c r="E52" s="947">
        <f>'BW2-Field Act. Labor &amp; Mach.'!$L$67</f>
        <v>8.7882358546602415</v>
      </c>
      <c r="F52" s="948"/>
      <c r="G52" s="451"/>
      <c r="H52" s="555"/>
      <c r="I52" s="124"/>
    </row>
    <row r="53" spans="2:10" ht="15" customHeight="1">
      <c r="B53" s="22" t="s">
        <v>45</v>
      </c>
      <c r="C53" s="946">
        <f>'BW2-Field Act. Labor &amp; Mach.'!$I$69</f>
        <v>14.511310000000002</v>
      </c>
      <c r="D53" s="947">
        <f>'BW2-Field Act. Labor &amp; Mach.'!$K$69</f>
        <v>5.9046727740142977</v>
      </c>
      <c r="E53" s="947">
        <f>'BW2-Field Act. Labor &amp; Mach.'!$L$69</f>
        <v>8.041581086300118</v>
      </c>
      <c r="F53" s="948"/>
      <c r="G53" s="451"/>
      <c r="H53" s="555"/>
      <c r="I53" s="124"/>
    </row>
    <row r="54" spans="2:10" ht="15" customHeight="1">
      <c r="B54" s="968" t="str">
        <f>'BW3-Variable Input'!$B$33</f>
        <v>Winter cover crop seed</v>
      </c>
      <c r="C54" s="951"/>
      <c r="D54" s="952"/>
      <c r="E54" s="952"/>
      <c r="F54" s="953">
        <f>'BW3-Variable Input'!$C$33</f>
        <v>31.793452380952385</v>
      </c>
      <c r="G54" s="590"/>
      <c r="H54" s="941"/>
      <c r="I54" s="435"/>
    </row>
    <row r="55" spans="2:10" ht="15" customHeight="1">
      <c r="B55" s="817" t="s">
        <v>508</v>
      </c>
      <c r="C55" s="444">
        <f>SUM(C50:C54)</f>
        <v>67.279709999999994</v>
      </c>
      <c r="D55" s="444">
        <f>SUM(D50:D54)</f>
        <v>18.626988205255401</v>
      </c>
      <c r="E55" s="444">
        <f>SUM(E50:E54)</f>
        <v>24.54418041227121</v>
      </c>
      <c r="F55" s="444">
        <f>SUM(F50:F54)</f>
        <v>31.793452380952385</v>
      </c>
      <c r="G55" s="447" t="s">
        <v>4</v>
      </c>
      <c r="H55" s="446">
        <f>C55+D55+E55+F55</f>
        <v>142.24433099847897</v>
      </c>
    </row>
    <row r="56" spans="2:10" s="120" customFormat="1">
      <c r="B56" s="593"/>
    </row>
    <row r="57" spans="2:10" s="552" customFormat="1" ht="15" customHeight="1">
      <c r="B57" s="116" t="s">
        <v>515</v>
      </c>
      <c r="C57" s="444">
        <f>C39+C46+C55</f>
        <v>1792.0925708904108</v>
      </c>
      <c r="D57" s="444">
        <f>D39+D46+D55</f>
        <v>224.65797420319197</v>
      </c>
      <c r="E57" s="444">
        <f>E39+E46+E55</f>
        <v>872.85859913537479</v>
      </c>
      <c r="F57" s="444">
        <f>F39+F46+F55</f>
        <v>808.72303829076907</v>
      </c>
      <c r="G57" s="447" t="s">
        <v>4</v>
      </c>
      <c r="H57" s="446">
        <f>C57+D57+E57+F57</f>
        <v>3698.3321825197468</v>
      </c>
      <c r="I57" s="765"/>
    </row>
    <row r="58" spans="2:10" s="119" customFormat="1">
      <c r="B58" s="593"/>
      <c r="C58" s="120"/>
      <c r="D58" s="120"/>
      <c r="E58" s="120"/>
      <c r="F58" s="120"/>
      <c r="G58" s="120"/>
      <c r="H58" s="120"/>
      <c r="I58" s="120"/>
    </row>
    <row r="59" spans="2:10" s="108" customFormat="1">
      <c r="B59" s="1032"/>
      <c r="C59" s="1033"/>
      <c r="D59" s="1033"/>
      <c r="E59" s="1033"/>
      <c r="F59" s="1033"/>
      <c r="G59" s="1033"/>
      <c r="H59" s="1033"/>
    </row>
    <row r="60" spans="2:10" s="119" customFormat="1">
      <c r="B60" s="593"/>
      <c r="C60" s="120"/>
      <c r="D60" s="120"/>
      <c r="E60" s="120"/>
      <c r="F60" s="120"/>
      <c r="G60" s="120"/>
      <c r="H60" s="120"/>
      <c r="I60" s="120"/>
    </row>
    <row r="61" spans="2:10" ht="15" customHeight="1">
      <c r="B61" s="116" t="s">
        <v>664</v>
      </c>
      <c r="J61" s="113"/>
    </row>
    <row r="62" spans="2:10" s="119" customFormat="1" ht="15" customHeight="1">
      <c r="B62" s="830" t="s">
        <v>668</v>
      </c>
      <c r="C62" s="448"/>
      <c r="D62" s="557"/>
      <c r="E62" s="557"/>
      <c r="F62" s="558"/>
      <c r="G62" s="558"/>
      <c r="H62" s="838">
        <f>C39+C55</f>
        <v>710.3403708904109</v>
      </c>
      <c r="I62" s="109"/>
    </row>
    <row r="63" spans="2:10" s="119" customFormat="1" ht="15" customHeight="1">
      <c r="B63" s="5" t="s">
        <v>667</v>
      </c>
      <c r="C63" s="448"/>
      <c r="D63" s="557"/>
      <c r="E63" s="557"/>
      <c r="F63" s="558"/>
      <c r="G63" s="558"/>
      <c r="H63" s="838">
        <f>D39+D55</f>
        <v>175.07650732319198</v>
      </c>
      <c r="I63" s="109"/>
    </row>
    <row r="64" spans="2:10" s="119" customFormat="1" ht="15" customHeight="1">
      <c r="B64" s="830" t="s">
        <v>669</v>
      </c>
      <c r="C64" s="448"/>
      <c r="D64" s="557"/>
      <c r="E64" s="557"/>
      <c r="F64" s="558"/>
      <c r="G64" s="558"/>
      <c r="H64" s="914">
        <f>F39+F55</f>
        <v>745.97334354107431</v>
      </c>
      <c r="I64" s="120"/>
    </row>
    <row r="65" spans="2:9" ht="15" customHeight="1">
      <c r="B65" s="831" t="s">
        <v>666</v>
      </c>
      <c r="C65" s="116"/>
      <c r="D65" s="839"/>
      <c r="E65" s="839"/>
      <c r="F65" s="840"/>
      <c r="G65" s="840"/>
      <c r="H65" s="841">
        <f>SUM(H62:H64)</f>
        <v>1631.3902217546772</v>
      </c>
      <c r="I65" s="113"/>
    </row>
    <row r="66" spans="2:9" ht="15" customHeight="1">
      <c r="B66" s="830" t="s">
        <v>680</v>
      </c>
      <c r="C66" s="448"/>
      <c r="D66" s="557"/>
      <c r="E66" s="557"/>
      <c r="F66" s="558"/>
      <c r="G66" s="558"/>
      <c r="H66" s="838">
        <f>C46</f>
        <v>1081.7521999999999</v>
      </c>
      <c r="I66" s="113"/>
    </row>
    <row r="67" spans="2:9" ht="15" customHeight="1">
      <c r="B67" s="830" t="s">
        <v>445</v>
      </c>
      <c r="C67" s="448"/>
      <c r="D67" s="557"/>
      <c r="E67" s="557"/>
      <c r="F67" s="558"/>
      <c r="G67" s="558"/>
      <c r="H67" s="838">
        <f>D46</f>
        <v>49.581466879999994</v>
      </c>
      <c r="I67" s="113"/>
    </row>
    <row r="68" spans="2:9" ht="15" customHeight="1">
      <c r="B68" s="830" t="s">
        <v>670</v>
      </c>
      <c r="C68" s="448"/>
      <c r="D68" s="557"/>
      <c r="E68" s="557"/>
      <c r="F68" s="558"/>
      <c r="G68" s="558"/>
      <c r="H68" s="914">
        <f>F46</f>
        <v>62.749694749694754</v>
      </c>
      <c r="I68" s="113"/>
    </row>
    <row r="69" spans="2:9" ht="15" customHeight="1">
      <c r="B69" s="831" t="s">
        <v>671</v>
      </c>
      <c r="C69" s="43"/>
      <c r="D69" s="43"/>
      <c r="E69" s="832"/>
      <c r="F69" s="43"/>
      <c r="G69" s="43"/>
      <c r="H69" s="598">
        <f>SUM(H66:H68)</f>
        <v>1194.0833616296945</v>
      </c>
      <c r="I69" s="113"/>
    </row>
    <row r="70" spans="2:9" ht="15" customHeight="1">
      <c r="B70" s="833" t="s">
        <v>513</v>
      </c>
      <c r="C70" s="834"/>
      <c r="D70" s="834"/>
      <c r="E70" s="835"/>
      <c r="F70" s="836"/>
      <c r="G70" s="834"/>
      <c r="H70" s="818">
        <f>H65+H69</f>
        <v>2825.4735833843715</v>
      </c>
      <c r="I70" s="113"/>
    </row>
    <row r="71" spans="2:9" ht="15" customHeight="1">
      <c r="B71" s="830" t="s">
        <v>672</v>
      </c>
      <c r="C71" s="5"/>
      <c r="D71" s="5"/>
      <c r="E71" s="23"/>
      <c r="F71" s="5"/>
      <c r="G71" s="5"/>
      <c r="H71" s="25">
        <f>E39+E55</f>
        <v>363.45415725543899</v>
      </c>
      <c r="I71" s="113"/>
    </row>
    <row r="72" spans="2:9">
      <c r="B72" s="830" t="s">
        <v>673</v>
      </c>
      <c r="C72" s="5"/>
      <c r="D72" s="5"/>
      <c r="E72" s="23"/>
      <c r="F72" s="5"/>
      <c r="G72" s="5"/>
      <c r="H72" s="49">
        <f>E46</f>
        <v>509.4044418799358</v>
      </c>
      <c r="I72" s="111"/>
    </row>
    <row r="73" spans="2:9">
      <c r="B73" s="837" t="s">
        <v>514</v>
      </c>
      <c r="C73" s="834"/>
      <c r="D73" s="834"/>
      <c r="E73" s="835"/>
      <c r="F73" s="836"/>
      <c r="G73" s="834"/>
      <c r="H73" s="819">
        <f>H71+H72</f>
        <v>872.85859913537479</v>
      </c>
      <c r="I73" s="111"/>
    </row>
  </sheetData>
  <sheetProtection sheet="1" objects="1" scenarios="1"/>
  <mergeCells count="2">
    <mergeCell ref="G1:H1"/>
    <mergeCell ref="E5:H6"/>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78"/>
  <sheetViews>
    <sheetView showGridLines="0" view="pageLayout" topLeftCell="A38" workbookViewId="0">
      <selection activeCell="B43" sqref="B43"/>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35.28515625" style="108" customWidth="1"/>
    <col min="11" max="15" width="14" style="108" customWidth="1"/>
    <col min="16" max="16" width="12.42578125" style="108" customWidth="1"/>
    <col min="17" max="19" width="8.7109375" style="108"/>
    <col min="20" max="20" width="11.5703125" style="108" customWidth="1"/>
    <col min="21" max="16384" width="8.7109375" style="108"/>
  </cols>
  <sheetData>
    <row r="1" spans="2:17" ht="16" thickBot="1">
      <c r="D1" s="994"/>
      <c r="F1" s="563"/>
      <c r="G1" s="1263" t="s">
        <v>512</v>
      </c>
      <c r="H1" s="1264"/>
    </row>
    <row r="2" spans="2:17" ht="25" customHeight="1">
      <c r="B2" s="1026" t="str">
        <f>'Workbook Index'!$B$27</f>
        <v>Beets</v>
      </c>
      <c r="D2" s="221"/>
      <c r="E2" s="220"/>
      <c r="I2" s="109"/>
    </row>
    <row r="3" spans="2:17" ht="33.5" customHeight="1">
      <c r="B3" s="1027" t="s">
        <v>716</v>
      </c>
      <c r="C3" s="448" t="s">
        <v>367</v>
      </c>
      <c r="D3" s="556"/>
      <c r="E3" s="926" t="s">
        <v>14</v>
      </c>
      <c r="F3" s="552"/>
      <c r="G3" s="552"/>
      <c r="H3" s="552"/>
      <c r="M3" s="112"/>
    </row>
    <row r="4" spans="2:17">
      <c r="C4" s="448" t="s">
        <v>47</v>
      </c>
      <c r="D4" s="556"/>
      <c r="E4" s="1066">
        <f>'BW1-Bed and Row Spacing'!$J$9</f>
        <v>6701.5384615384619</v>
      </c>
      <c r="F4" s="552"/>
      <c r="G4" s="552"/>
      <c r="H4" s="552"/>
      <c r="M4" s="112"/>
    </row>
    <row r="5" spans="2:17">
      <c r="B5" s="448"/>
      <c r="C5" s="448" t="s">
        <v>366</v>
      </c>
      <c r="D5" s="556"/>
      <c r="E5" s="1332" t="s">
        <v>831</v>
      </c>
      <c r="F5" s="1334"/>
      <c r="G5" s="1334"/>
      <c r="H5" s="1334"/>
      <c r="M5" s="112"/>
    </row>
    <row r="6" spans="2:17" ht="14" customHeight="1">
      <c r="B6" s="114"/>
      <c r="C6" s="448"/>
      <c r="D6" s="556"/>
      <c r="E6" s="1334"/>
      <c r="F6" s="1334"/>
      <c r="G6" s="1334"/>
      <c r="H6" s="1334"/>
    </row>
    <row r="7" spans="2:17">
      <c r="B7" s="1032"/>
      <c r="C7" s="1033"/>
      <c r="D7" s="1033"/>
      <c r="E7" s="1033"/>
      <c r="F7" s="1033"/>
      <c r="G7" s="1033"/>
      <c r="H7" s="1033"/>
    </row>
    <row r="8" spans="2:17">
      <c r="B8" s="553" t="s">
        <v>517</v>
      </c>
      <c r="C8" s="452"/>
      <c r="D8" s="452"/>
      <c r="E8" s="452"/>
      <c r="F8" s="452"/>
      <c r="G8" s="452"/>
      <c r="H8" s="452"/>
      <c r="I8" s="109"/>
    </row>
    <row r="9" spans="2:17" customFormat="1" ht="33" customHeight="1">
      <c r="B9" s="420" t="s">
        <v>711</v>
      </c>
      <c r="C9" s="421" t="s">
        <v>707</v>
      </c>
      <c r="D9" s="421" t="s">
        <v>708</v>
      </c>
      <c r="E9" s="421" t="s">
        <v>709</v>
      </c>
      <c r="F9" s="421" t="s">
        <v>710</v>
      </c>
      <c r="G9" s="834"/>
      <c r="H9" s="928"/>
      <c r="M9" s="112"/>
      <c r="N9" s="112"/>
      <c r="O9" s="112"/>
      <c r="P9" s="6"/>
      <c r="Q9" s="6"/>
    </row>
    <row r="10" spans="2:17" customFormat="1" ht="30">
      <c r="B10" s="993" t="s">
        <v>516</v>
      </c>
      <c r="C10" s="991" t="s">
        <v>849</v>
      </c>
      <c r="D10" s="991" t="s">
        <v>849</v>
      </c>
      <c r="E10" s="991" t="s">
        <v>849</v>
      </c>
      <c r="F10" s="991" t="s">
        <v>850</v>
      </c>
      <c r="G10" s="992"/>
      <c r="H10" s="462"/>
      <c r="M10" s="112"/>
      <c r="N10" s="112"/>
      <c r="O10" s="6"/>
      <c r="P10" s="6"/>
    </row>
    <row r="11" spans="2:17" ht="15" customHeight="1">
      <c r="B11" s="921" t="s">
        <v>298</v>
      </c>
      <c r="C11" s="995"/>
      <c r="D11" s="996"/>
      <c r="E11" s="996"/>
      <c r="F11" s="997"/>
      <c r="G11" s="1335" t="s">
        <v>705</v>
      </c>
      <c r="H11" s="1335"/>
      <c r="I11" s="113"/>
    </row>
    <row r="12" spans="2:17" ht="15" customHeight="1">
      <c r="B12" s="552" t="s">
        <v>145</v>
      </c>
      <c r="C12" s="946">
        <f>('BW2-Field Act. Labor &amp; Mach.'!$I$9)/2</f>
        <v>4.617235</v>
      </c>
      <c r="D12" s="947">
        <f>('BW2-Field Act. Labor &amp; Mach.'!$K$9)/2</f>
        <v>3.5813406372812948</v>
      </c>
      <c r="E12" s="947">
        <f>('BW2-Field Act. Labor &amp; Mach.'!$L$9)/2</f>
        <v>3.2848834445648656</v>
      </c>
      <c r="F12" s="948"/>
      <c r="G12" s="1336"/>
      <c r="H12" s="1336"/>
      <c r="I12" s="227"/>
    </row>
    <row r="13" spans="2:17" ht="15" customHeight="1">
      <c r="B13" s="22" t="s">
        <v>45</v>
      </c>
      <c r="C13" s="946">
        <f>('BW2-Field Act. Labor &amp; Mach.'!$I$69)/2</f>
        <v>7.2556550000000009</v>
      </c>
      <c r="D13" s="947">
        <f>('BW2-Field Act. Labor &amp; Mach.'!$K$69)/2</f>
        <v>2.9523363870071488</v>
      </c>
      <c r="E13" s="947">
        <f>('BW2-Field Act. Labor &amp; Mach.'!$L$69)/2</f>
        <v>4.020790543150059</v>
      </c>
      <c r="F13" s="948"/>
      <c r="G13" s="1336"/>
      <c r="H13" s="1336"/>
      <c r="I13" s="435"/>
      <c r="J13" s="109"/>
    </row>
    <row r="14" spans="2:17" ht="15" customHeight="1">
      <c r="B14" s="968" t="str">
        <f>'BW3-Variable Input'!$B$34</f>
        <v>Summer cover crop seed</v>
      </c>
      <c r="C14" s="951"/>
      <c r="D14" s="952"/>
      <c r="E14" s="952"/>
      <c r="F14" s="953">
        <f>('BW3-Variable Input'!$C$34)/2</f>
        <v>16.173333333333336</v>
      </c>
      <c r="G14" s="1337"/>
      <c r="H14" s="1337"/>
      <c r="I14" s="124"/>
      <c r="J14" s="109"/>
    </row>
    <row r="15" spans="2:17" ht="15" customHeight="1">
      <c r="B15" s="556"/>
      <c r="C15" s="451"/>
      <c r="D15" s="451"/>
      <c r="E15" s="451"/>
      <c r="F15" s="451"/>
      <c r="G15" s="451"/>
      <c r="H15" s="555"/>
      <c r="I15" s="124"/>
      <c r="J15" s="109"/>
    </row>
    <row r="16" spans="2:17" ht="15" customHeight="1">
      <c r="B16" s="921" t="s">
        <v>181</v>
      </c>
      <c r="C16" s="943"/>
      <c r="D16" s="944"/>
      <c r="E16" s="944"/>
      <c r="F16" s="945"/>
      <c r="G16" s="594"/>
      <c r="H16" s="594"/>
      <c r="I16" s="121"/>
    </row>
    <row r="17" spans="2:9" ht="15" customHeight="1">
      <c r="B17" s="134" t="s">
        <v>307</v>
      </c>
      <c r="C17" s="946">
        <f>'BW2-Field Act. Labor &amp; Mach.'!$I$9</f>
        <v>9.23447</v>
      </c>
      <c r="D17" s="947">
        <f>'BW2-Field Act. Labor &amp; Mach.'!$K$9</f>
        <v>7.1626812745625896</v>
      </c>
      <c r="E17" s="947">
        <f>'BW2-Field Act. Labor &amp; Mach.'!$L$9</f>
        <v>6.5697668891297312</v>
      </c>
      <c r="F17" s="948"/>
      <c r="G17" s="949"/>
      <c r="H17" s="949"/>
      <c r="I17" s="227"/>
    </row>
    <row r="18" spans="2:9" ht="15" customHeight="1">
      <c r="B18" s="448" t="s">
        <v>46</v>
      </c>
      <c r="C18" s="946">
        <f>'BW2-Field Act. Labor &amp; Mach.'!$I$10</f>
        <v>11.87289</v>
      </c>
      <c r="D18" s="947">
        <f>'BW2-Field Act. Labor &amp; Mach.'!$K$10</f>
        <v>16.900081383311999</v>
      </c>
      <c r="E18" s="947">
        <f>'BW2-Field Act. Labor &amp; Mach.'!$L$10</f>
        <v>23.703168100043012</v>
      </c>
      <c r="F18" s="948"/>
      <c r="G18" s="451"/>
      <c r="H18" s="949"/>
      <c r="I18" s="227"/>
    </row>
    <row r="19" spans="2:9" ht="15" customHeight="1">
      <c r="B19" s="927" t="s">
        <v>69</v>
      </c>
      <c r="C19" s="946"/>
      <c r="D19" s="947"/>
      <c r="E19" s="947"/>
      <c r="F19" s="948">
        <f>'BW3-Variable Input'!$C$9</f>
        <v>116.66666666666667</v>
      </c>
      <c r="G19" s="451"/>
      <c r="H19" s="949"/>
      <c r="I19" s="227"/>
    </row>
    <row r="20" spans="2:9" ht="15" customHeight="1">
      <c r="B20" s="448" t="s">
        <v>11</v>
      </c>
      <c r="C20" s="946">
        <f>'BW2-Field Act. Labor &amp; Mach.'!$I$13</f>
        <v>22.426569999999998</v>
      </c>
      <c r="D20" s="947">
        <f>'BW2-Field Act. Labor &amp; Mach.'!$K$13</f>
        <v>17.993866831056</v>
      </c>
      <c r="E20" s="947">
        <f>'BW2-Field Act. Labor &amp; Mach.'!$L$13</f>
        <v>44.771770188886023</v>
      </c>
      <c r="F20" s="948"/>
      <c r="G20" s="451"/>
      <c r="H20" s="555"/>
      <c r="I20" s="227"/>
    </row>
    <row r="21" spans="2:9" ht="15" customHeight="1">
      <c r="B21" s="448" t="s">
        <v>12</v>
      </c>
      <c r="C21" s="946">
        <f>'BW2-Field Act. Labor &amp; Mach.'!$I$14</f>
        <v>10.55368</v>
      </c>
      <c r="D21" s="947">
        <f>'BW2-Field Act. Labor &amp; Mach.'!$K$14</f>
        <v>9.2140341759999984</v>
      </c>
      <c r="E21" s="947">
        <f>'BW2-Field Act. Labor &amp; Mach.'!$L$14</f>
        <v>29.935417361494395</v>
      </c>
      <c r="F21" s="948"/>
      <c r="G21" s="451"/>
      <c r="H21" s="555"/>
      <c r="I21" s="227"/>
    </row>
    <row r="22" spans="2:9" ht="15" customHeight="1">
      <c r="B22" s="448" t="s">
        <v>295</v>
      </c>
      <c r="C22" s="946">
        <f>'BW2-Field Act. Labor &amp; Mach.'!$I$15</f>
        <v>59.364449999999998</v>
      </c>
      <c r="D22" s="947">
        <f>'BW2-Field Act. Labor &amp; Mach.'!$K$15</f>
        <v>11.732543673988348</v>
      </c>
      <c r="E22" s="947">
        <f>'BW2-Field Act. Labor &amp; Mach.'!$L$15</f>
        <v>19.938595491388046</v>
      </c>
      <c r="F22" s="948"/>
      <c r="G22" s="449"/>
      <c r="H22" s="555"/>
      <c r="I22" s="227"/>
    </row>
    <row r="23" spans="2:9" ht="15" customHeight="1">
      <c r="B23" s="927" t="s">
        <v>313</v>
      </c>
      <c r="C23" s="946"/>
      <c r="D23" s="947"/>
      <c r="E23" s="947"/>
      <c r="F23" s="948">
        <f>'BW3-Variable Input'!$C$23</f>
        <v>125.09538461538463</v>
      </c>
      <c r="G23" s="451"/>
      <c r="H23" s="555"/>
      <c r="I23" s="227"/>
    </row>
    <row r="24" spans="2:9" ht="15" customHeight="1">
      <c r="B24" s="950" t="s">
        <v>192</v>
      </c>
      <c r="C24" s="951">
        <f>'BW2-Field Act. Labor &amp; Mach.'!$I$16*2</f>
        <v>21.10736</v>
      </c>
      <c r="D24" s="952">
        <f>'BW2-Field Act. Labor &amp; Mach.'!$K$16*2</f>
        <v>12.051200395575469</v>
      </c>
      <c r="E24" s="952">
        <f>'BW2-Field Act. Labor &amp; Mach.'!$L$16*2</f>
        <v>17.332156747393537</v>
      </c>
      <c r="F24" s="953"/>
      <c r="G24" s="590"/>
      <c r="H24" s="941"/>
      <c r="I24" s="227"/>
    </row>
    <row r="25" spans="2:9" ht="15" customHeight="1">
      <c r="B25" s="448"/>
      <c r="C25" s="451"/>
      <c r="D25" s="451"/>
      <c r="E25" s="451"/>
      <c r="F25" s="451"/>
      <c r="G25" s="451"/>
      <c r="H25" s="954"/>
      <c r="I25" s="227"/>
    </row>
    <row r="26" spans="2:9" ht="15" customHeight="1">
      <c r="B26" s="921" t="s">
        <v>10</v>
      </c>
      <c r="C26" s="955"/>
      <c r="D26" s="956"/>
      <c r="E26" s="956"/>
      <c r="F26" s="957"/>
      <c r="G26" s="958"/>
      <c r="H26" s="933"/>
      <c r="I26" s="227"/>
    </row>
    <row r="27" spans="2:9" ht="15" customHeight="1">
      <c r="B27" s="448" t="str">
        <f>'BW2-Field Act. Labor &amp; Mach.'!B20</f>
        <v>Direct seed on bareground</v>
      </c>
      <c r="C27" s="959">
        <f>'BW2-Field Act. Labor &amp; Mach.'!$I$20</f>
        <v>52.7684</v>
      </c>
      <c r="D27" s="947">
        <f>'BW2-Field Act. Labor &amp; Mach.'!$K$20</f>
        <v>17.196459355934465</v>
      </c>
      <c r="E27" s="947">
        <f>'BW2-Field Act. Labor &amp; Mach.'!$L$20</f>
        <v>40.179586989352146</v>
      </c>
      <c r="F27" s="948"/>
      <c r="G27" s="451"/>
      <c r="H27" s="555"/>
      <c r="I27" s="227"/>
    </row>
    <row r="28" spans="2:9" ht="15" customHeight="1">
      <c r="B28" s="927" t="s">
        <v>315</v>
      </c>
      <c r="C28" s="959"/>
      <c r="D28" s="947"/>
      <c r="E28" s="947"/>
      <c r="F28" s="948">
        <f>('BW3-Variable Input'!$C$10)</f>
        <v>124</v>
      </c>
      <c r="G28" s="451"/>
      <c r="H28" s="555"/>
      <c r="I28" s="227"/>
    </row>
    <row r="29" spans="2:9" ht="15" customHeight="1">
      <c r="B29" s="966" t="s">
        <v>65</v>
      </c>
      <c r="C29" s="951"/>
      <c r="D29" s="952"/>
      <c r="E29" s="952"/>
      <c r="F29" s="953">
        <f>'BW3-Variable Input'!$C$41</f>
        <v>134.03076923076924</v>
      </c>
      <c r="G29" s="590"/>
      <c r="H29" s="941"/>
      <c r="I29" s="227"/>
    </row>
    <row r="30" spans="2:9" ht="15" customHeight="1">
      <c r="B30" s="448"/>
      <c r="C30" s="451"/>
      <c r="D30" s="451"/>
      <c r="E30" s="451"/>
      <c r="F30" s="451"/>
      <c r="G30" s="451"/>
      <c r="H30" s="954"/>
      <c r="I30" s="227"/>
    </row>
    <row r="31" spans="2:9" ht="15" customHeight="1">
      <c r="B31" s="921" t="s">
        <v>37</v>
      </c>
      <c r="C31" s="955"/>
      <c r="D31" s="956"/>
      <c r="E31" s="956"/>
      <c r="F31" s="957"/>
      <c r="G31" s="958"/>
      <c r="H31" s="933"/>
      <c r="I31" s="227"/>
    </row>
    <row r="32" spans="2:9" ht="15" customHeight="1">
      <c r="B32" s="22" t="s">
        <v>179</v>
      </c>
      <c r="C32" s="946">
        <f>'BW2-Field Act. Labor &amp; Mach.'!$I$31*2</f>
        <v>10.55368</v>
      </c>
      <c r="D32" s="947">
        <f>'BW2-Field Act. Labor &amp; Mach.'!$K$31*2</f>
        <v>1.6570295666513035</v>
      </c>
      <c r="E32" s="947">
        <f>'BW2-Field Act. Labor &amp; Mach.'!$L$31*2</f>
        <v>27.363002680965153</v>
      </c>
      <c r="F32" s="948"/>
      <c r="G32" s="451"/>
      <c r="H32" s="451"/>
      <c r="I32" s="227"/>
    </row>
    <row r="33" spans="2:10" ht="15" customHeight="1">
      <c r="B33" s="927" t="str">
        <f>'BW5-Irrigation'!$B$8</f>
        <v>Irrigation supply cost</v>
      </c>
      <c r="C33" s="946"/>
      <c r="D33" s="947"/>
      <c r="E33" s="947"/>
      <c r="F33" s="948">
        <f>'BW5-Irrigation'!$E$8</f>
        <v>32.773534158149545</v>
      </c>
      <c r="G33" s="1029" t="s">
        <v>851</v>
      </c>
      <c r="H33" s="451"/>
      <c r="I33" s="227"/>
    </row>
    <row r="34" spans="2:10" ht="15" customHeight="1">
      <c r="B34" s="448" t="str">
        <f>'BW5-Irrigation'!$B$9</f>
        <v>Irrigation set-up labor cost</v>
      </c>
      <c r="C34" s="946">
        <f>'BW5-Irrigation'!$E$9</f>
        <v>50.735370890410955</v>
      </c>
      <c r="D34" s="947"/>
      <c r="E34" s="947"/>
      <c r="F34" s="948"/>
      <c r="G34" s="1029" t="s">
        <v>851</v>
      </c>
      <c r="H34" s="451"/>
      <c r="I34" s="227"/>
    </row>
    <row r="35" spans="2:10" ht="15" customHeight="1">
      <c r="B35" s="448" t="s">
        <v>184</v>
      </c>
      <c r="C35" s="946">
        <f>'BW2-Field Act. Labor &amp; Mach.'!$I$39*'BW5-Irrigation'!$C$14</f>
        <v>126.64416</v>
      </c>
      <c r="D35" s="947"/>
      <c r="E35" s="947"/>
      <c r="F35" s="948"/>
      <c r="G35" s="451"/>
      <c r="H35" s="555"/>
      <c r="I35" s="236"/>
    </row>
    <row r="36" spans="2:10" ht="15" customHeight="1">
      <c r="B36" s="22" t="str">
        <f>'BW2-Field Act. Labor &amp; Mach.'!$B$32</f>
        <v>Seed buckwheat on plot edge</v>
      </c>
      <c r="C36" s="946">
        <f>'BW2-Field Act. Labor &amp; Mach.'!$I$32</f>
        <v>6.59605</v>
      </c>
      <c r="D36" s="947">
        <f>'BW2-Field Act. Labor &amp; Mach.'!$K$32</f>
        <v>0.70423756582680397</v>
      </c>
      <c r="E36" s="947">
        <f>'BW2-Field Act. Labor &amp; Mach.'!$L$32</f>
        <v>11.629276139410191</v>
      </c>
      <c r="F36" s="948"/>
      <c r="G36" s="451"/>
      <c r="H36" s="451"/>
      <c r="I36" s="227"/>
    </row>
    <row r="37" spans="2:10" ht="15" customHeight="1">
      <c r="B37" s="764" t="str">
        <f>'BW3-Variable Input'!$B$36</f>
        <v>Buckwheat seed for edge of field</v>
      </c>
      <c r="C37" s="946"/>
      <c r="D37" s="947"/>
      <c r="E37" s="947"/>
      <c r="F37" s="948">
        <f>'BW3-Variable Input'!$C$36</f>
        <v>8.8000000000000007</v>
      </c>
      <c r="G37" s="451"/>
      <c r="H37" s="451"/>
      <c r="I37" s="227"/>
    </row>
    <row r="38" spans="2:10" ht="15" customHeight="1">
      <c r="B38" s="22" t="s">
        <v>201</v>
      </c>
      <c r="C38" s="946">
        <f>'BW2-Field Act. Labor &amp; Mach.'!$I$28*3</f>
        <v>31.66104</v>
      </c>
      <c r="D38" s="947">
        <f>'BW2-Field Act. Labor &amp; Mach.'!$K$28*3</f>
        <v>13.069827471322013</v>
      </c>
      <c r="E38" s="947">
        <f>'BW2-Field Act. Labor &amp; Mach.'!$L$28*3</f>
        <v>34.652202498356345</v>
      </c>
      <c r="F38" s="948"/>
      <c r="G38" s="451"/>
      <c r="H38" s="555"/>
      <c r="I38" s="227"/>
    </row>
    <row r="39" spans="2:10" ht="15" customHeight="1">
      <c r="B39" s="22" t="s">
        <v>247</v>
      </c>
      <c r="C39" s="946">
        <f>'BW2-Field Act. Labor &amp; Mach.'!$I$41</f>
        <v>145.1131</v>
      </c>
      <c r="D39" s="947"/>
      <c r="E39" s="947"/>
      <c r="F39" s="948"/>
      <c r="G39" s="451"/>
      <c r="H39" s="451"/>
      <c r="I39" s="227"/>
    </row>
    <row r="40" spans="2:10" ht="15" customHeight="1">
      <c r="B40" s="424" t="s">
        <v>180</v>
      </c>
      <c r="C40" s="951">
        <f>'BW2-Field Act. Labor &amp; Mach.'!$I$29*2</f>
        <v>63.32208</v>
      </c>
      <c r="D40" s="952">
        <f>'BW2-Field Act. Labor &amp; Mach.'!$K$29*2</f>
        <v>18.849340278005133</v>
      </c>
      <c r="E40" s="952">
        <f>'BW2-Field Act. Labor &amp; Mach.'!$L$29*2</f>
        <v>51.654848024316109</v>
      </c>
      <c r="F40" s="953"/>
      <c r="G40" s="590"/>
      <c r="H40" s="941"/>
      <c r="I40" s="227"/>
    </row>
    <row r="41" spans="2:10" ht="15" customHeight="1">
      <c r="B41" s="824" t="s">
        <v>508</v>
      </c>
      <c r="C41" s="444">
        <f>SUM(C12:C14, C17:C24, C27:C29,C32:C40)</f>
        <v>633.826190890411</v>
      </c>
      <c r="D41" s="444">
        <f>SUM(D12:D14, D17:D24, D27:D29,D32:D40)</f>
        <v>133.06497899652257</v>
      </c>
      <c r="E41" s="444">
        <f>SUM(E12:E14, E17:E24, E27:E29,E32:E40)</f>
        <v>315.03546509844961</v>
      </c>
      <c r="F41" s="444">
        <f>SUM(F12:F14, F17:F24, F27:F29,F32:F40)</f>
        <v>557.53968800430346</v>
      </c>
      <c r="G41" s="445" t="s">
        <v>4</v>
      </c>
      <c r="H41" s="446">
        <f>SUM(C41:F41)</f>
        <v>1639.4663229896864</v>
      </c>
      <c r="J41" s="109"/>
    </row>
    <row r="42" spans="2:10" s="120" customFormat="1">
      <c r="B42" s="593"/>
      <c r="C42" s="449"/>
      <c r="D42" s="449"/>
      <c r="E42" s="449"/>
      <c r="F42" s="449"/>
      <c r="G42" s="449"/>
      <c r="H42" s="449"/>
    </row>
    <row r="43" spans="2:10" s="119" customFormat="1" ht="15" customHeight="1">
      <c r="B43" s="116" t="s">
        <v>914</v>
      </c>
      <c r="C43" s="451"/>
      <c r="D43" s="451"/>
      <c r="E43" s="451"/>
      <c r="F43" s="451"/>
      <c r="G43" s="807"/>
      <c r="H43" s="960"/>
      <c r="I43" s="120"/>
    </row>
    <row r="44" spans="2:10" ht="15" customHeight="1">
      <c r="B44" s="921" t="s">
        <v>3</v>
      </c>
      <c r="C44" s="943"/>
      <c r="D44" s="956"/>
      <c r="E44" s="956"/>
      <c r="F44" s="957"/>
      <c r="G44" s="589"/>
      <c r="H44" s="589"/>
      <c r="I44" s="115"/>
      <c r="J44" s="109"/>
    </row>
    <row r="45" spans="2:10" ht="15" customHeight="1">
      <c r="B45" s="448" t="s">
        <v>182</v>
      </c>
      <c r="C45" s="946">
        <f>'BW6-Harvest and Wash-Pack'!$D$9+'BW2-Field Act. Labor &amp; Mach.'!$I$54</f>
        <v>798.12204999999994</v>
      </c>
      <c r="D45" s="947">
        <f>'BW2-Field Act. Labor &amp; Mach.'!$K$54</f>
        <v>0.13284863512476036</v>
      </c>
      <c r="E45" s="947">
        <f>'BW2-Field Act. Labor &amp; Mach.'!$L$54</f>
        <v>0.73508522727272718</v>
      </c>
      <c r="F45" s="948"/>
      <c r="G45" s="923" t="s">
        <v>852</v>
      </c>
      <c r="H45" s="555"/>
      <c r="I45" s="120"/>
      <c r="J45" s="109"/>
    </row>
    <row r="46" spans="2:10" ht="15" customHeight="1">
      <c r="B46" s="927" t="s">
        <v>356</v>
      </c>
      <c r="C46" s="946"/>
      <c r="D46" s="947"/>
      <c r="E46" s="947"/>
      <c r="F46" s="948">
        <f>'BW3-Variable Input'!$C$70</f>
        <v>87.11995499999999</v>
      </c>
      <c r="G46" s="923"/>
      <c r="H46" s="555"/>
      <c r="I46" s="124"/>
      <c r="J46" s="109"/>
    </row>
    <row r="47" spans="2:10" ht="15" customHeight="1">
      <c r="B47" s="448" t="s">
        <v>349</v>
      </c>
      <c r="C47" s="946">
        <f>'BW6-Harvest and Wash-Pack'!$F$9</f>
        <v>428.74324999999999</v>
      </c>
      <c r="D47" s="947"/>
      <c r="E47" s="947"/>
      <c r="F47" s="948"/>
      <c r="G47" s="923" t="s">
        <v>852</v>
      </c>
      <c r="H47" s="555"/>
      <c r="I47" s="120"/>
      <c r="J47" s="109"/>
    </row>
    <row r="48" spans="2:10" ht="15" customHeight="1">
      <c r="B48" s="966" t="s">
        <v>355</v>
      </c>
      <c r="C48" s="951"/>
      <c r="D48" s="952"/>
      <c r="E48" s="952"/>
      <c r="F48" s="953">
        <f>'BW3-Variable Input'!$C$68/2</f>
        <v>31.374847374847377</v>
      </c>
      <c r="G48" s="998"/>
      <c r="H48" s="941"/>
      <c r="I48" s="124"/>
      <c r="J48" s="109"/>
    </row>
    <row r="49" spans="2:11" ht="15" customHeight="1">
      <c r="B49" s="824" t="s">
        <v>508</v>
      </c>
      <c r="C49" s="444">
        <f>SUM(C45:C48)</f>
        <v>1226.8652999999999</v>
      </c>
      <c r="D49" s="444">
        <f>SUM(D45:D48)</f>
        <v>0.13284863512476036</v>
      </c>
      <c r="E49" s="444">
        <f>SUM(E45:E48)</f>
        <v>0.73508522727272718</v>
      </c>
      <c r="F49" s="444">
        <f>SUM(F45:F48)</f>
        <v>118.49480237484737</v>
      </c>
      <c r="G49" s="445" t="s">
        <v>4</v>
      </c>
      <c r="H49" s="446">
        <f>SUM(C49:F49)</f>
        <v>1346.2280362372446</v>
      </c>
      <c r="J49" s="109"/>
    </row>
    <row r="50" spans="2:11" s="120" customFormat="1">
      <c r="B50" s="593"/>
      <c r="C50" s="449"/>
      <c r="D50" s="449"/>
      <c r="E50" s="449"/>
      <c r="F50" s="449"/>
      <c r="G50" s="449"/>
      <c r="H50" s="449"/>
    </row>
    <row r="51" spans="2:11" s="119" customFormat="1" ht="15" customHeight="1">
      <c r="B51" s="116" t="s">
        <v>662</v>
      </c>
      <c r="C51" s="451"/>
      <c r="D51" s="451"/>
      <c r="E51" s="451"/>
      <c r="F51" s="451"/>
      <c r="G51" s="807"/>
      <c r="H51" s="960"/>
      <c r="I51" s="120"/>
    </row>
    <row r="52" spans="2:11" ht="15" customHeight="1">
      <c r="B52" s="921" t="s">
        <v>663</v>
      </c>
      <c r="C52" s="955"/>
      <c r="D52" s="956"/>
      <c r="E52" s="956"/>
      <c r="F52" s="957"/>
      <c r="G52" s="958"/>
      <c r="H52" s="933"/>
      <c r="I52" s="124"/>
      <c r="J52" s="109"/>
    </row>
    <row r="53" spans="2:11" ht="15" customHeight="1">
      <c r="B53" s="22" t="s">
        <v>43</v>
      </c>
      <c r="C53" s="946">
        <f>'BW2-Field Act. Labor &amp; Mach.'!$I$66</f>
        <v>5.27684</v>
      </c>
      <c r="D53" s="947">
        <f>'BW2-Field Act. Labor &amp; Mach.'!$K$66</f>
        <v>4.7393418269465482</v>
      </c>
      <c r="E53" s="947">
        <f>'BW2-Field Act. Labor &amp; Mach.'!$L$66</f>
        <v>4.8215303303156709</v>
      </c>
      <c r="F53" s="948"/>
      <c r="G53" s="451"/>
      <c r="H53" s="555"/>
      <c r="I53" s="124"/>
      <c r="J53" s="109"/>
    </row>
    <row r="54" spans="2:11" ht="15" customHeight="1">
      <c r="B54" s="448" t="s">
        <v>150</v>
      </c>
      <c r="C54" s="946">
        <f>'BW2-Field Act. Labor &amp; Mach.'!$I$65</f>
        <v>42.21472</v>
      </c>
      <c r="D54" s="947">
        <f>'BW2-Field Act. Labor &amp; Mach.'!$K$65</f>
        <v>3.4075700159999998</v>
      </c>
      <c r="E54" s="947">
        <f>'BW2-Field Act. Labor &amp; Mach.'!$L$65</f>
        <v>2.89283314099518</v>
      </c>
      <c r="F54" s="948"/>
      <c r="G54" s="451"/>
      <c r="H54" s="555"/>
      <c r="I54" s="124"/>
      <c r="J54" s="109"/>
    </row>
    <row r="55" spans="2:11" ht="15" customHeight="1">
      <c r="B55" s="22" t="s">
        <v>44</v>
      </c>
      <c r="C55" s="946">
        <f>'BW2-Field Act. Labor &amp; Mach.'!$I$67</f>
        <v>5.27684</v>
      </c>
      <c r="D55" s="947">
        <f>'BW2-Field Act. Labor &amp; Mach.'!$K$67</f>
        <v>4.5754035882945541</v>
      </c>
      <c r="E55" s="947">
        <f>'BW2-Field Act. Labor &amp; Mach.'!$L$67</f>
        <v>8.7882358546602415</v>
      </c>
      <c r="F55" s="948"/>
      <c r="G55" s="451"/>
      <c r="H55" s="555"/>
      <c r="I55" s="124"/>
      <c r="J55" s="109"/>
    </row>
    <row r="56" spans="2:11" ht="15" customHeight="1">
      <c r="B56" s="22" t="s">
        <v>45</v>
      </c>
      <c r="C56" s="946">
        <f>'BW2-Field Act. Labor &amp; Mach.'!$I$69</f>
        <v>14.511310000000002</v>
      </c>
      <c r="D56" s="947">
        <f>'BW2-Field Act. Labor &amp; Mach.'!$K$69</f>
        <v>5.9046727740142977</v>
      </c>
      <c r="E56" s="947">
        <f>'BW2-Field Act. Labor &amp; Mach.'!$L$69</f>
        <v>8.041581086300118</v>
      </c>
      <c r="F56" s="948"/>
      <c r="G56" s="451"/>
      <c r="H56" s="555"/>
      <c r="I56" s="435"/>
      <c r="J56" s="109"/>
    </row>
    <row r="57" spans="2:11" ht="15" customHeight="1">
      <c r="B57" s="968" t="str">
        <f>'BW3-Variable Input'!$B$33</f>
        <v>Winter cover crop seed</v>
      </c>
      <c r="C57" s="951"/>
      <c r="D57" s="952"/>
      <c r="E57" s="952"/>
      <c r="F57" s="953">
        <f>'BW3-Variable Input'!$C$33</f>
        <v>31.793452380952385</v>
      </c>
      <c r="G57" s="590"/>
      <c r="H57" s="941"/>
      <c r="I57" s="124"/>
      <c r="J57" s="109"/>
    </row>
    <row r="58" spans="2:11" ht="15" customHeight="1">
      <c r="B58" s="824" t="s">
        <v>508</v>
      </c>
      <c r="C58" s="444">
        <f>SUM(C53:C57)</f>
        <v>67.279709999999994</v>
      </c>
      <c r="D58" s="444">
        <f>SUM(D53:D57)</f>
        <v>18.626988205255401</v>
      </c>
      <c r="E58" s="444">
        <f>SUM(E53:E57)</f>
        <v>24.54418041227121</v>
      </c>
      <c r="F58" s="444">
        <f>SUM(F53:F57)</f>
        <v>31.793452380952385</v>
      </c>
      <c r="G58" s="447" t="s">
        <v>4</v>
      </c>
      <c r="H58" s="446">
        <f>SUM(C58:F58)</f>
        <v>142.24433099847897</v>
      </c>
      <c r="J58" s="109"/>
    </row>
    <row r="59" spans="2:11" s="120" customFormat="1">
      <c r="B59" s="593"/>
      <c r="C59" s="449"/>
      <c r="D59" s="449"/>
      <c r="E59" s="449"/>
      <c r="F59" s="449"/>
      <c r="G59" s="449"/>
      <c r="H59" s="449"/>
    </row>
    <row r="60" spans="2:11" ht="15" customHeight="1">
      <c r="B60" s="116" t="s">
        <v>515</v>
      </c>
      <c r="C60" s="444">
        <f>C41+C49+C58</f>
        <v>1927.971200890411</v>
      </c>
      <c r="D60" s="444">
        <f>D41+D49+D58</f>
        <v>151.82481583690273</v>
      </c>
      <c r="E60" s="444">
        <f>E41+E49+E58</f>
        <v>340.31473073799356</v>
      </c>
      <c r="F60" s="444">
        <f>F41+F49+F58</f>
        <v>707.82794276010327</v>
      </c>
      <c r="G60" s="447" t="s">
        <v>4</v>
      </c>
      <c r="H60" s="446">
        <f>SUM(C60:F60)</f>
        <v>3127.9386902254105</v>
      </c>
      <c r="I60" s="109"/>
      <c r="J60" s="109"/>
    </row>
    <row r="61" spans="2:11" ht="15" customHeight="1">
      <c r="B61" s="114"/>
      <c r="C61" s="451"/>
      <c r="D61" s="451"/>
      <c r="E61" s="451"/>
      <c r="F61" s="451"/>
      <c r="G61" s="451"/>
      <c r="H61" s="555"/>
      <c r="I61" s="124"/>
      <c r="J61" s="113"/>
      <c r="K61" s="109"/>
    </row>
    <row r="62" spans="2:11">
      <c r="B62" s="1032"/>
      <c r="C62" s="1033"/>
      <c r="D62" s="1033"/>
      <c r="E62" s="1033"/>
      <c r="F62" s="1033"/>
      <c r="G62" s="1033"/>
      <c r="H62" s="1033"/>
    </row>
    <row r="63" spans="2:11">
      <c r="B63" s="556"/>
      <c r="C63" s="556"/>
      <c r="D63" s="556"/>
      <c r="E63" s="556"/>
      <c r="F63" s="556"/>
      <c r="G63" s="556"/>
      <c r="H63" s="556"/>
    </row>
    <row r="64" spans="2:11">
      <c r="B64" s="116" t="s">
        <v>664</v>
      </c>
      <c r="C64" s="556"/>
      <c r="D64" s="556"/>
      <c r="E64" s="556"/>
      <c r="F64" s="556"/>
      <c r="G64" s="556"/>
      <c r="H64" s="556"/>
    </row>
    <row r="65" spans="2:18">
      <c r="B65" s="830" t="s">
        <v>668</v>
      </c>
      <c r="C65" s="556"/>
      <c r="D65" s="556"/>
      <c r="E65" s="556"/>
      <c r="F65" s="556"/>
      <c r="G65" s="556"/>
      <c r="H65" s="844">
        <f>C41+C58</f>
        <v>701.10590089041102</v>
      </c>
    </row>
    <row r="66" spans="2:18">
      <c r="B66" s="5" t="s">
        <v>667</v>
      </c>
      <c r="C66" s="556"/>
      <c r="D66" s="556"/>
      <c r="E66" s="556"/>
      <c r="F66" s="556"/>
      <c r="G66" s="556"/>
      <c r="H66" s="844">
        <f>D41+D58</f>
        <v>151.69196720177797</v>
      </c>
    </row>
    <row r="67" spans="2:18" ht="15" customHeight="1">
      <c r="B67" s="830" t="s">
        <v>669</v>
      </c>
      <c r="C67" s="556"/>
      <c r="D67" s="450"/>
      <c r="E67" s="451"/>
      <c r="F67" s="842"/>
      <c r="G67" s="807"/>
      <c r="H67" s="845">
        <f>F41+F58</f>
        <v>589.33314038525589</v>
      </c>
      <c r="I67" s="119"/>
    </row>
    <row r="68" spans="2:18" ht="15" customHeight="1">
      <c r="B68" s="831" t="s">
        <v>666</v>
      </c>
      <c r="C68" s="450"/>
      <c r="D68" s="556"/>
      <c r="E68" s="450"/>
      <c r="F68" s="448"/>
      <c r="G68" s="448"/>
      <c r="H68" s="841">
        <f>SUM(H65:H67)</f>
        <v>1442.131008477445</v>
      </c>
      <c r="I68" s="109"/>
    </row>
    <row r="69" spans="2:18" ht="15" customHeight="1">
      <c r="B69" s="830" t="s">
        <v>680</v>
      </c>
      <c r="C69" s="450"/>
      <c r="D69" s="556"/>
      <c r="E69" s="450"/>
      <c r="F69" s="448"/>
      <c r="G69" s="558"/>
      <c r="H69" s="838">
        <f>C49</f>
        <v>1226.8652999999999</v>
      </c>
      <c r="I69" s="109"/>
    </row>
    <row r="70" spans="2:18" ht="15" customHeight="1">
      <c r="B70" s="830" t="s">
        <v>445</v>
      </c>
      <c r="C70" s="448"/>
      <c r="D70" s="557"/>
      <c r="E70" s="557"/>
      <c r="F70" s="448"/>
      <c r="G70" s="556"/>
      <c r="H70" s="844">
        <f>D49</f>
        <v>0.13284863512476036</v>
      </c>
    </row>
    <row r="71" spans="2:18" ht="15" customHeight="1">
      <c r="B71" s="830" t="s">
        <v>670</v>
      </c>
      <c r="C71" s="448"/>
      <c r="D71" s="448"/>
      <c r="E71" s="557"/>
      <c r="F71" s="448"/>
      <c r="G71" s="843"/>
      <c r="H71" s="846">
        <f>F49</f>
        <v>118.49480237484737</v>
      </c>
      <c r="I71" s="113"/>
      <c r="J71" s="113"/>
      <c r="K71" s="113"/>
      <c r="L71" s="113"/>
      <c r="M71" s="109"/>
    </row>
    <row r="72" spans="2:18" ht="15" customHeight="1">
      <c r="B72" s="831" t="s">
        <v>671</v>
      </c>
      <c r="C72" s="43"/>
      <c r="D72" s="43"/>
      <c r="E72" s="832"/>
      <c r="F72" s="43"/>
      <c r="G72" s="43"/>
      <c r="H72" s="598">
        <f>SUM(H69:H71)</f>
        <v>1345.4929510099719</v>
      </c>
      <c r="I72" s="113"/>
      <c r="J72" s="113"/>
      <c r="K72" s="113"/>
      <c r="L72" s="113"/>
      <c r="M72" s="109"/>
    </row>
    <row r="73" spans="2:18" ht="15" customHeight="1">
      <c r="B73" s="833" t="s">
        <v>513</v>
      </c>
      <c r="C73" s="834"/>
      <c r="D73" s="834"/>
      <c r="E73" s="835"/>
      <c r="F73" s="836"/>
      <c r="G73" s="834"/>
      <c r="H73" s="818">
        <f>H68+H72</f>
        <v>2787.6239594874169</v>
      </c>
      <c r="I73" s="113"/>
      <c r="J73" s="113"/>
      <c r="K73" s="113"/>
      <c r="L73" s="113"/>
      <c r="M73" s="109"/>
    </row>
    <row r="74" spans="2:18">
      <c r="B74" s="830" t="s">
        <v>672</v>
      </c>
      <c r="C74" s="5"/>
      <c r="D74" s="5"/>
      <c r="E74" s="23"/>
      <c r="F74" s="5"/>
      <c r="G74" s="5"/>
      <c r="H74" s="25">
        <f>E41+E58</f>
        <v>339.57964551072081</v>
      </c>
      <c r="I74" s="111"/>
      <c r="J74" s="111"/>
      <c r="K74" s="111"/>
      <c r="L74" s="111"/>
      <c r="M74" s="109"/>
    </row>
    <row r="75" spans="2:18">
      <c r="B75" s="830" t="s">
        <v>673</v>
      </c>
      <c r="C75" s="5"/>
      <c r="D75" s="5"/>
      <c r="E75" s="23"/>
      <c r="F75" s="5"/>
      <c r="G75" s="5"/>
      <c r="H75" s="49">
        <f>E49</f>
        <v>0.73508522727272718</v>
      </c>
      <c r="I75" s="110"/>
      <c r="J75" s="112"/>
      <c r="K75" s="112"/>
      <c r="L75" s="111"/>
      <c r="M75" s="111"/>
      <c r="N75" s="111"/>
      <c r="O75" s="111"/>
      <c r="P75" s="109"/>
    </row>
    <row r="76" spans="2:18">
      <c r="B76" s="837" t="s">
        <v>514</v>
      </c>
      <c r="C76" s="834"/>
      <c r="D76" s="834"/>
      <c r="E76" s="835"/>
      <c r="F76" s="836"/>
      <c r="G76" s="834"/>
      <c r="H76" s="819">
        <f>H74+H75</f>
        <v>340.31473073799356</v>
      </c>
      <c r="I76" s="110"/>
      <c r="L76" s="109"/>
      <c r="M76" s="109"/>
      <c r="N76" s="109"/>
      <c r="O76" s="109"/>
      <c r="P76" s="109"/>
    </row>
    <row r="77" spans="2:18">
      <c r="B77" s="556"/>
      <c r="C77" s="448"/>
      <c r="D77" s="552"/>
      <c r="E77" s="448"/>
      <c r="F77" s="448"/>
      <c r="G77" s="448"/>
      <c r="H77" s="448"/>
      <c r="I77" s="109"/>
      <c r="J77" s="109"/>
      <c r="K77" s="110"/>
      <c r="N77" s="109"/>
      <c r="O77" s="109"/>
      <c r="P77" s="109"/>
      <c r="Q77" s="109"/>
      <c r="R77" s="109"/>
    </row>
    <row r="78" spans="2:18">
      <c r="B78" s="556"/>
      <c r="C78" s="552"/>
      <c r="D78" s="552"/>
      <c r="E78" s="552"/>
      <c r="F78" s="552"/>
      <c r="G78" s="552"/>
      <c r="H78" s="552"/>
      <c r="I78" s="109"/>
      <c r="J78" s="109"/>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81"/>
  <sheetViews>
    <sheetView showGridLines="0" view="pageLayout" topLeftCell="A29" workbookViewId="0">
      <selection activeCell="B48" sqref="B48"/>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2.85546875" style="108" customWidth="1"/>
    <col min="10" max="11" width="11.85546875" style="108" customWidth="1"/>
    <col min="12" max="14" width="13.7109375" style="108" customWidth="1"/>
    <col min="15" max="16384" width="8.7109375" style="108"/>
  </cols>
  <sheetData>
    <row r="1" spans="2:17" ht="16" thickBot="1">
      <c r="F1" s="563"/>
      <c r="G1" s="1263" t="s">
        <v>512</v>
      </c>
      <c r="H1" s="1264"/>
    </row>
    <row r="2" spans="2:17" ht="25" customHeight="1">
      <c r="B2" s="1024" t="str">
        <f>'Workbook Index'!$B$28</f>
        <v>Broccoli</v>
      </c>
      <c r="C2" s="221"/>
      <c r="D2" s="221"/>
      <c r="E2" s="221"/>
    </row>
    <row r="3" spans="2:17" ht="33.5" customHeight="1">
      <c r="B3" s="1027" t="s">
        <v>716</v>
      </c>
      <c r="C3" s="132" t="s">
        <v>367</v>
      </c>
      <c r="D3" s="916"/>
      <c r="E3" s="917" t="s">
        <v>14</v>
      </c>
      <c r="F3" s="135"/>
      <c r="G3" s="135"/>
      <c r="H3" s="135"/>
    </row>
    <row r="4" spans="2:17">
      <c r="B4" s="918"/>
      <c r="C4" s="132" t="s">
        <v>47</v>
      </c>
      <c r="D4" s="916"/>
      <c r="E4" s="1067">
        <f>'BW1-Bed and Row Spacing'!$J$10</f>
        <v>6701.5384615384619</v>
      </c>
      <c r="F4" s="135"/>
      <c r="G4" s="135"/>
      <c r="H4" s="135"/>
    </row>
    <row r="5" spans="2:17">
      <c r="B5" s="915"/>
      <c r="C5" s="132" t="s">
        <v>366</v>
      </c>
      <c r="D5" s="916"/>
      <c r="E5" s="1338" t="s">
        <v>830</v>
      </c>
      <c r="F5" s="1338"/>
      <c r="G5" s="1338"/>
      <c r="H5" s="1338"/>
    </row>
    <row r="6" spans="2:17">
      <c r="B6" s="223"/>
      <c r="C6" s="915"/>
      <c r="D6" s="916"/>
      <c r="E6" s="1338"/>
      <c r="F6" s="1338"/>
      <c r="G6" s="1338"/>
      <c r="H6" s="1338"/>
    </row>
    <row r="7" spans="2:17">
      <c r="B7" s="1032"/>
      <c r="C7" s="1033"/>
      <c r="D7" s="1033"/>
      <c r="E7" s="1033"/>
      <c r="F7" s="1033"/>
      <c r="G7" s="1033"/>
      <c r="H7" s="1033"/>
    </row>
    <row r="8" spans="2:17">
      <c r="B8" s="553" t="s">
        <v>517</v>
      </c>
      <c r="C8" s="492"/>
      <c r="D8" s="492"/>
      <c r="E8" s="492"/>
      <c r="F8" s="492"/>
      <c r="G8" s="492"/>
      <c r="H8" s="492"/>
    </row>
    <row r="9" spans="2:17" customFormat="1" ht="33" customHeight="1">
      <c r="B9" s="420" t="s">
        <v>711</v>
      </c>
      <c r="C9" s="421" t="s">
        <v>707</v>
      </c>
      <c r="D9" s="421" t="s">
        <v>708</v>
      </c>
      <c r="E9" s="421" t="s">
        <v>709</v>
      </c>
      <c r="F9" s="421" t="s">
        <v>710</v>
      </c>
      <c r="G9" s="919"/>
      <c r="H9" s="920"/>
      <c r="M9" s="112"/>
      <c r="N9" s="112"/>
      <c r="O9" s="112"/>
      <c r="P9" s="6"/>
      <c r="Q9" s="6"/>
    </row>
    <row r="10" spans="2:17" customFormat="1" ht="30">
      <c r="B10" s="993" t="s">
        <v>516</v>
      </c>
      <c r="C10" s="991" t="s">
        <v>849</v>
      </c>
      <c r="D10" s="991" t="s">
        <v>849</v>
      </c>
      <c r="E10" s="991" t="s">
        <v>849</v>
      </c>
      <c r="F10" s="991" t="s">
        <v>850</v>
      </c>
      <c r="G10" s="992"/>
      <c r="H10" s="462"/>
      <c r="M10" s="112"/>
      <c r="N10" s="112"/>
      <c r="O10" s="6"/>
      <c r="P10" s="6"/>
    </row>
    <row r="11" spans="2:17" ht="15" customHeight="1">
      <c r="B11" s="921" t="s">
        <v>298</v>
      </c>
      <c r="C11" s="511"/>
      <c r="D11" s="519"/>
      <c r="E11" s="519"/>
      <c r="F11" s="525"/>
      <c r="G11" s="1335" t="s">
        <v>705</v>
      </c>
      <c r="H11" s="1335"/>
    </row>
    <row r="12" spans="2:17" ht="15" customHeight="1">
      <c r="B12" s="134" t="s">
        <v>145</v>
      </c>
      <c r="C12" s="512">
        <f>('BW2-Field Act. Labor &amp; Mach.'!$I$9)/2</f>
        <v>4.617235</v>
      </c>
      <c r="D12" s="520">
        <f>('BW2-Field Act. Labor &amp; Mach.'!$K$9)/2</f>
        <v>3.5813406372812948</v>
      </c>
      <c r="E12" s="520">
        <f>('BW2-Field Act. Labor &amp; Mach.'!$L$9)/2</f>
        <v>3.2848834445648656</v>
      </c>
      <c r="F12" s="526"/>
      <c r="G12" s="1336"/>
      <c r="H12" s="1336"/>
    </row>
    <row r="13" spans="2:17" ht="15" customHeight="1">
      <c r="B13" s="15" t="s">
        <v>45</v>
      </c>
      <c r="C13" s="512">
        <f>('BW2-Field Act. Labor &amp; Mach.'!$I$69)/2</f>
        <v>7.2556550000000009</v>
      </c>
      <c r="D13" s="520">
        <f>('BW2-Field Act. Labor &amp; Mach.'!$K$69)/2</f>
        <v>2.9523363870071488</v>
      </c>
      <c r="E13" s="520">
        <f>('BW2-Field Act. Labor &amp; Mach.'!$L$69)/2</f>
        <v>4.020790543150059</v>
      </c>
      <c r="F13" s="526"/>
      <c r="G13" s="1336"/>
      <c r="H13" s="1336"/>
    </row>
    <row r="14" spans="2:17" ht="15" customHeight="1">
      <c r="B14" s="417" t="str">
        <f>'BW3-Variable Input'!$B$34</f>
        <v>Summer cover crop seed</v>
      </c>
      <c r="C14" s="513"/>
      <c r="D14" s="521"/>
      <c r="E14" s="521"/>
      <c r="F14" s="527">
        <f>('BW3-Variable Input'!$C$34)/2</f>
        <v>16.173333333333336</v>
      </c>
      <c r="G14" s="1337"/>
      <c r="H14" s="1337"/>
    </row>
    <row r="15" spans="2:17" ht="15" customHeight="1">
      <c r="B15" s="15"/>
      <c r="C15" s="471"/>
      <c r="D15" s="471"/>
      <c r="E15" s="471"/>
      <c r="F15" s="471"/>
      <c r="G15" s="133"/>
      <c r="H15" s="969"/>
    </row>
    <row r="16" spans="2:17" ht="15" customHeight="1">
      <c r="B16" s="970" t="s">
        <v>181</v>
      </c>
      <c r="C16" s="971"/>
      <c r="D16" s="972"/>
      <c r="E16" s="972"/>
      <c r="F16" s="973"/>
      <c r="G16" s="422"/>
      <c r="H16" s="974"/>
    </row>
    <row r="17" spans="2:8" ht="15" customHeight="1">
      <c r="B17" s="134" t="s">
        <v>307</v>
      </c>
      <c r="C17" s="512">
        <f>'BW2-Field Act. Labor &amp; Mach.'!$I$9</f>
        <v>9.23447</v>
      </c>
      <c r="D17" s="520">
        <f>'BW2-Field Act. Labor &amp; Mach.'!$K$9</f>
        <v>7.1626812745625896</v>
      </c>
      <c r="E17" s="520">
        <f>'BW2-Field Act. Labor &amp; Mach.'!$L$9</f>
        <v>6.5697668891297312</v>
      </c>
      <c r="F17" s="526"/>
      <c r="G17" s="975"/>
      <c r="H17" s="975"/>
    </row>
    <row r="18" spans="2:8" ht="15" customHeight="1">
      <c r="B18" s="132" t="s">
        <v>46</v>
      </c>
      <c r="C18" s="512">
        <f>'BW2-Field Act. Labor &amp; Mach.'!$I$10</f>
        <v>11.87289</v>
      </c>
      <c r="D18" s="520">
        <f>'BW2-Field Act. Labor &amp; Mach.'!$K$10</f>
        <v>16.900081383311999</v>
      </c>
      <c r="E18" s="520">
        <f>'BW2-Field Act. Labor &amp; Mach.'!$L$10</f>
        <v>23.703168100043012</v>
      </c>
      <c r="F18" s="526"/>
      <c r="G18" s="133"/>
      <c r="H18" s="975"/>
    </row>
    <row r="19" spans="2:8" ht="15" customHeight="1">
      <c r="B19" s="151" t="s">
        <v>69</v>
      </c>
      <c r="C19" s="512"/>
      <c r="D19" s="520"/>
      <c r="E19" s="520"/>
      <c r="F19" s="526">
        <f>'BW3-Variable Input'!$C$9</f>
        <v>116.66666666666667</v>
      </c>
      <c r="G19" s="133"/>
      <c r="H19" s="975"/>
    </row>
    <row r="20" spans="2:8" ht="15" customHeight="1">
      <c r="B20" s="132" t="s">
        <v>11</v>
      </c>
      <c r="C20" s="512">
        <f>'BW2-Field Act. Labor &amp; Mach.'!$I$13</f>
        <v>22.426569999999998</v>
      </c>
      <c r="D20" s="520">
        <f>'BW2-Field Act. Labor &amp; Mach.'!$K$13</f>
        <v>17.993866831056</v>
      </c>
      <c r="E20" s="520">
        <f>'BW2-Field Act. Labor &amp; Mach.'!$L$13</f>
        <v>44.771770188886023</v>
      </c>
      <c r="F20" s="526"/>
      <c r="G20" s="133"/>
      <c r="H20" s="969"/>
    </row>
    <row r="21" spans="2:8" ht="15" customHeight="1">
      <c r="B21" s="132" t="s">
        <v>12</v>
      </c>
      <c r="C21" s="512">
        <f>'BW2-Field Act. Labor &amp; Mach.'!$I$14</f>
        <v>10.55368</v>
      </c>
      <c r="D21" s="520">
        <f>'BW2-Field Act. Labor &amp; Mach.'!$K$14</f>
        <v>9.2140341759999984</v>
      </c>
      <c r="E21" s="520">
        <f>'BW2-Field Act. Labor &amp; Mach.'!$L$14</f>
        <v>29.935417361494395</v>
      </c>
      <c r="F21" s="526"/>
      <c r="G21" s="133"/>
      <c r="H21" s="975"/>
    </row>
    <row r="22" spans="2:8" ht="15" customHeight="1">
      <c r="B22" s="132" t="s">
        <v>144</v>
      </c>
      <c r="C22" s="512">
        <f>'BW2-Field Act. Labor &amp; Mach.'!$I$15</f>
        <v>59.364449999999998</v>
      </c>
      <c r="D22" s="520">
        <f>'BW2-Field Act. Labor &amp; Mach.'!$K$15</f>
        <v>11.732543673988348</v>
      </c>
      <c r="E22" s="520">
        <f>'BW2-Field Act. Labor &amp; Mach.'!$L$15</f>
        <v>19.938595491388046</v>
      </c>
      <c r="F22" s="526"/>
      <c r="G22" s="133"/>
      <c r="H22" s="969"/>
    </row>
    <row r="23" spans="2:8" ht="15" customHeight="1">
      <c r="B23" s="151" t="s">
        <v>313</v>
      </c>
      <c r="C23" s="512"/>
      <c r="D23" s="520"/>
      <c r="E23" s="520"/>
      <c r="F23" s="526">
        <f>'BW3-Variable Input'!$C$23</f>
        <v>125.09538461538463</v>
      </c>
      <c r="G23" s="133"/>
      <c r="H23" s="969"/>
    </row>
    <row r="24" spans="2:8" ht="15" customHeight="1">
      <c r="B24" s="416" t="s">
        <v>192</v>
      </c>
      <c r="C24" s="513">
        <f>'BW2-Field Act. Labor &amp; Mach.'!$I$16*2</f>
        <v>21.10736</v>
      </c>
      <c r="D24" s="521">
        <f>'BW2-Field Act. Labor &amp; Mach.'!$K$16*2</f>
        <v>12.051200395575469</v>
      </c>
      <c r="E24" s="521">
        <f>'BW2-Field Act. Labor &amp; Mach.'!$L$16*2</f>
        <v>17.332156747393537</v>
      </c>
      <c r="F24" s="527"/>
      <c r="G24" s="486"/>
      <c r="H24" s="976"/>
    </row>
    <row r="25" spans="2:8" ht="15" customHeight="1">
      <c r="B25" s="132"/>
      <c r="C25" s="133"/>
      <c r="D25" s="133"/>
      <c r="E25" s="133"/>
      <c r="F25" s="133"/>
      <c r="G25" s="133"/>
      <c r="H25" s="969"/>
    </row>
    <row r="26" spans="2:8" ht="15" customHeight="1">
      <c r="B26" s="921" t="s">
        <v>10</v>
      </c>
      <c r="C26" s="515"/>
      <c r="D26" s="438"/>
      <c r="E26" s="438"/>
      <c r="F26" s="529"/>
      <c r="G26" s="422"/>
      <c r="H26" s="974"/>
    </row>
    <row r="27" spans="2:8" ht="15" customHeight="1">
      <c r="B27" s="132" t="str">
        <f>'BW2-Field Act. Labor &amp; Mach.'!$B$21</f>
        <v>Transplant on bareground</v>
      </c>
      <c r="C27" s="516">
        <f>'BW2-Field Act. Labor &amp; Mach.'!$I$21</f>
        <v>237.45779999999999</v>
      </c>
      <c r="D27" s="520">
        <f>'BW2-Field Act. Labor &amp; Mach.'!$K$21</f>
        <v>36.893392063675897</v>
      </c>
      <c r="E27" s="520">
        <f>'BW2-Field Act. Labor &amp; Mach.'!$L$21</f>
        <v>114.11450861195542</v>
      </c>
      <c r="F27" s="526"/>
      <c r="G27" s="133"/>
      <c r="H27" s="969"/>
    </row>
    <row r="28" spans="2:8" ht="15" customHeight="1">
      <c r="B28" s="151" t="s">
        <v>684</v>
      </c>
      <c r="C28" s="512"/>
      <c r="D28" s="520"/>
      <c r="E28" s="520"/>
      <c r="F28" s="526">
        <f>'BW4-Transplant Production'!F8</f>
        <v>48.583664703296712</v>
      </c>
      <c r="G28" s="923" t="s">
        <v>720</v>
      </c>
      <c r="H28" s="969"/>
    </row>
    <row r="29" spans="2:8" ht="15" customHeight="1">
      <c r="B29" s="151" t="s">
        <v>683</v>
      </c>
      <c r="C29" s="512">
        <f>'BW4-Transplant Production'!$D$8</f>
        <v>402.28210609795678</v>
      </c>
      <c r="D29" s="520"/>
      <c r="E29" s="520"/>
      <c r="F29" s="526">
        <f>'BW4-Transplant Production'!$J$35</f>
        <v>234.94769411836958</v>
      </c>
      <c r="G29" s="923" t="s">
        <v>720</v>
      </c>
      <c r="H29" s="969"/>
    </row>
    <row r="30" spans="2:8" ht="15" customHeight="1">
      <c r="B30" s="418" t="s">
        <v>315</v>
      </c>
      <c r="C30" s="513"/>
      <c r="D30" s="521"/>
      <c r="E30" s="521"/>
      <c r="F30" s="527">
        <f>'BW3-Variable Input'!$C$10</f>
        <v>124</v>
      </c>
      <c r="G30" s="486"/>
      <c r="H30" s="976"/>
    </row>
    <row r="31" spans="2:8" ht="15" customHeight="1">
      <c r="B31" s="132"/>
      <c r="C31" s="133"/>
      <c r="D31" s="133"/>
      <c r="E31" s="133"/>
      <c r="F31" s="133"/>
      <c r="G31" s="133"/>
      <c r="H31" s="969"/>
    </row>
    <row r="32" spans="2:8" ht="15" customHeight="1">
      <c r="B32" s="921" t="s">
        <v>37</v>
      </c>
      <c r="C32" s="515"/>
      <c r="D32" s="438"/>
      <c r="E32" s="438"/>
      <c r="F32" s="529"/>
      <c r="G32" s="422"/>
      <c r="H32" s="974"/>
    </row>
    <row r="33" spans="2:8" ht="15" customHeight="1">
      <c r="B33" s="15" t="s">
        <v>179</v>
      </c>
      <c r="C33" s="512">
        <f>'BW2-Field Act. Labor &amp; Mach.'!$I$31*2</f>
        <v>10.55368</v>
      </c>
      <c r="D33" s="520">
        <f>'BW2-Field Act. Labor &amp; Mach.'!$K$31*2</f>
        <v>1.6570295666513035</v>
      </c>
      <c r="E33" s="520">
        <f>'BW2-Field Act. Labor &amp; Mach.'!$L$31*2</f>
        <v>27.363002680965153</v>
      </c>
      <c r="F33" s="526"/>
      <c r="G33" s="977"/>
      <c r="H33" s="977"/>
    </row>
    <row r="34" spans="2:8" ht="15" customHeight="1">
      <c r="B34" s="151" t="str">
        <f>'BW5-Irrigation'!$B$8</f>
        <v>Irrigation supply cost</v>
      </c>
      <c r="C34" s="512"/>
      <c r="D34" s="520"/>
      <c r="E34" s="520"/>
      <c r="F34" s="526">
        <f>'BW5-Irrigation'!$E$8</f>
        <v>32.773534158149545</v>
      </c>
      <c r="G34" s="1029" t="s">
        <v>851</v>
      </c>
      <c r="H34" s="977"/>
    </row>
    <row r="35" spans="2:8" ht="15" customHeight="1">
      <c r="B35" s="132" t="str">
        <f>'BW5-Irrigation'!$B$9</f>
        <v>Irrigation set-up labor cost</v>
      </c>
      <c r="C35" s="512">
        <f>'BW5-Irrigation'!$E$9</f>
        <v>50.735370890410955</v>
      </c>
      <c r="D35" s="520"/>
      <c r="E35" s="520"/>
      <c r="F35" s="526"/>
      <c r="G35" s="1029" t="s">
        <v>851</v>
      </c>
      <c r="H35" s="977"/>
    </row>
    <row r="36" spans="2:8" ht="15" customHeight="1">
      <c r="B36" s="132" t="s">
        <v>184</v>
      </c>
      <c r="C36" s="512">
        <f>'BW2-Field Act. Labor &amp; Mach.'!$I$39*'BW5-Irrigation'!$C$15</f>
        <v>126.64416</v>
      </c>
      <c r="D36" s="520"/>
      <c r="E36" s="520"/>
      <c r="F36" s="526"/>
      <c r="G36" s="977"/>
      <c r="H36" s="977"/>
    </row>
    <row r="37" spans="2:8" ht="15" customHeight="1">
      <c r="B37" s="15" t="str">
        <f>'BW2-Field Act. Labor &amp; Mach.'!$B$32</f>
        <v>Seed buckwheat on plot edge</v>
      </c>
      <c r="C37" s="512">
        <f>'BW2-Field Act. Labor &amp; Mach.'!$I$32</f>
        <v>6.59605</v>
      </c>
      <c r="D37" s="520">
        <f>'BW2-Field Act. Labor &amp; Mach.'!$K$32</f>
        <v>0.70423756582680397</v>
      </c>
      <c r="E37" s="520">
        <f>'BW2-Field Act. Labor &amp; Mach.'!$L$32</f>
        <v>11.629276139410191</v>
      </c>
      <c r="F37" s="526"/>
      <c r="G37" s="977"/>
      <c r="H37" s="977"/>
    </row>
    <row r="38" spans="2:8" ht="15" customHeight="1">
      <c r="B38" s="414" t="str">
        <f>'BW3-Variable Input'!$B$36</f>
        <v>Buckwheat seed for edge of field</v>
      </c>
      <c r="C38" s="512"/>
      <c r="D38" s="520"/>
      <c r="E38" s="520"/>
      <c r="F38" s="526">
        <f>'BW3-Variable Input'!$C$36</f>
        <v>8.8000000000000007</v>
      </c>
      <c r="G38" s="977"/>
      <c r="H38" s="977"/>
    </row>
    <row r="39" spans="2:8" ht="15" customHeight="1">
      <c r="B39" s="15" t="s">
        <v>194</v>
      </c>
      <c r="C39" s="512">
        <f>'BW2-Field Act. Labor &amp; Mach.'!$I$28*2</f>
        <v>21.10736</v>
      </c>
      <c r="D39" s="520">
        <f>'BW2-Field Act. Labor &amp; Mach.'!$K$28*2</f>
        <v>8.7132183142146751</v>
      </c>
      <c r="E39" s="520">
        <f>'BW2-Field Act. Labor &amp; Mach.'!$L$28*2</f>
        <v>23.101468332237562</v>
      </c>
      <c r="F39" s="526"/>
      <c r="G39" s="977"/>
      <c r="H39" s="977"/>
    </row>
    <row r="40" spans="2:8" ht="15" customHeight="1">
      <c r="B40" s="15" t="str">
        <f>'BW2-Field Act. Labor &amp; Mach.'!$B$34</f>
        <v>Scuffle hoe</v>
      </c>
      <c r="C40" s="512">
        <f>'BW2-Field Act. Labor &amp; Mach.'!$I$34</f>
        <v>98.940749999999994</v>
      </c>
      <c r="D40" s="520"/>
      <c r="E40" s="520"/>
      <c r="F40" s="526"/>
      <c r="G40" s="977"/>
      <c r="H40" s="977"/>
    </row>
    <row r="41" spans="2:8" ht="15" customHeight="1">
      <c r="B41" s="15" t="s">
        <v>180</v>
      </c>
      <c r="C41" s="512">
        <f>'BW2-Field Act. Labor &amp; Mach.'!$I$29*2</f>
        <v>63.32208</v>
      </c>
      <c r="D41" s="520">
        <f>'BW2-Field Act. Labor &amp; Mach.'!$K$29*2</f>
        <v>18.849340278005133</v>
      </c>
      <c r="E41" s="520">
        <f>'BW2-Field Act. Labor &amp; Mach.'!$L$29*2</f>
        <v>51.654848024316109</v>
      </c>
      <c r="F41" s="526"/>
      <c r="G41" s="977"/>
      <c r="H41" s="977"/>
    </row>
    <row r="42" spans="2:8" ht="15" customHeight="1">
      <c r="B42" s="15" t="str">
        <f>'BW2-Field Act. Labor &amp; Mach.'!$B$38</f>
        <v>Undersow clover</v>
      </c>
      <c r="C42" s="512">
        <f>'BW2-Field Act. Labor &amp; Mach.'!$I$38/2</f>
        <v>3.95763</v>
      </c>
      <c r="D42" s="520"/>
      <c r="E42" s="520"/>
      <c r="F42" s="526"/>
      <c r="G42" s="978" t="s">
        <v>446</v>
      </c>
      <c r="H42" s="979"/>
    </row>
    <row r="43" spans="2:8" ht="15" customHeight="1">
      <c r="B43" s="414" t="str">
        <f>'BW3-Variable Input'!$B$37</f>
        <v>Undersown medium red clover seed</v>
      </c>
      <c r="C43" s="512"/>
      <c r="D43" s="520"/>
      <c r="E43" s="520"/>
      <c r="F43" s="526">
        <f>'BW3-Variable Input'!$C$37/2</f>
        <v>17.600000000000001</v>
      </c>
      <c r="G43" s="978" t="s">
        <v>446</v>
      </c>
      <c r="H43" s="979"/>
    </row>
    <row r="44" spans="2:8" ht="15" customHeight="1">
      <c r="B44" s="15" t="s">
        <v>327</v>
      </c>
      <c r="C44" s="512">
        <f>'BW2-Field Act. Labor &amp; Mach.'!$I$37*4</f>
        <v>52.7684</v>
      </c>
      <c r="D44" s="520">
        <f>'BW2-Field Act. Labor &amp; Mach.'!$K$37*4</f>
        <v>40.728886581040129</v>
      </c>
      <c r="E44" s="520">
        <f>'BW2-Field Act. Labor &amp; Mach.'!$L$37*4</f>
        <v>52.41973239570433</v>
      </c>
      <c r="F44" s="526"/>
      <c r="G44" s="977"/>
      <c r="H44" s="980"/>
    </row>
    <row r="45" spans="2:8" ht="15" customHeight="1">
      <c r="B45" s="419" t="s">
        <v>501</v>
      </c>
      <c r="C45" s="513"/>
      <c r="D45" s="521"/>
      <c r="E45" s="521"/>
      <c r="F45" s="527">
        <f>'BW3-Variable Input'!$C$55</f>
        <v>79.532288700479015</v>
      </c>
      <c r="G45" s="981"/>
      <c r="H45" s="982"/>
    </row>
    <row r="46" spans="2:8" ht="15" customHeight="1">
      <c r="B46" s="824" t="s">
        <v>508</v>
      </c>
      <c r="C46" s="444">
        <f>SUM(C12:C14,C17:C24, C27:C30,C33:C45)</f>
        <v>1220.7976969883678</v>
      </c>
      <c r="D46" s="444">
        <f>SUM(D12:D14,D17:D24, D27:D30,D33:D45)</f>
        <v>189.13418912819679</v>
      </c>
      <c r="E46" s="444">
        <f>SUM(E12:E14,E17:E24, E27:E30,E33:E45)</f>
        <v>429.83938495063842</v>
      </c>
      <c r="F46" s="444">
        <f>SUM(F12:F14,F17:F24, F27:F30,F33:F45)</f>
        <v>804.17256629567953</v>
      </c>
      <c r="G46" s="445" t="s">
        <v>4</v>
      </c>
      <c r="H46" s="446">
        <f>SUM(C46:F46)</f>
        <v>2643.9438373628827</v>
      </c>
    </row>
    <row r="47" spans="2:8" s="120" customFormat="1" ht="15" customHeight="1">
      <c r="B47" s="593"/>
      <c r="C47" s="133"/>
      <c r="D47" s="133"/>
      <c r="E47" s="133"/>
      <c r="F47" s="133"/>
      <c r="G47" s="133"/>
      <c r="H47" s="924"/>
    </row>
    <row r="48" spans="2:8" s="119" customFormat="1" ht="15" customHeight="1">
      <c r="B48" s="116" t="s">
        <v>914</v>
      </c>
      <c r="C48" s="133"/>
      <c r="D48" s="133"/>
      <c r="E48" s="133"/>
      <c r="F48" s="133"/>
      <c r="G48" s="229"/>
      <c r="H48" s="924"/>
    </row>
    <row r="49" spans="2:8" ht="15" customHeight="1">
      <c r="B49" s="921" t="s">
        <v>3</v>
      </c>
      <c r="C49" s="514"/>
      <c r="D49" s="438"/>
      <c r="E49" s="438"/>
      <c r="F49" s="529"/>
      <c r="G49" s="983"/>
      <c r="H49" s="983"/>
    </row>
    <row r="50" spans="2:8" ht="15" customHeight="1">
      <c r="B50" s="132" t="s">
        <v>304</v>
      </c>
      <c r="C50" s="512">
        <f>'BW6-Harvest and Wash-Pack'!$D$10+'BW2-Field Act. Labor &amp; Mach.'!$I$55</f>
        <v>224.26569999999998</v>
      </c>
      <c r="D50" s="520">
        <f>'BW2-Field Act. Labor &amp; Mach.'!$K$55</f>
        <v>14.792442634536425</v>
      </c>
      <c r="E50" s="520">
        <f>'BW2-Field Act. Labor &amp; Mach.'!$L$55</f>
        <v>14.444040020263422</v>
      </c>
      <c r="F50" s="526"/>
      <c r="G50" s="923" t="s">
        <v>852</v>
      </c>
      <c r="H50" s="969"/>
    </row>
    <row r="51" spans="2:8" ht="15" customHeight="1">
      <c r="B51" s="132" t="s">
        <v>349</v>
      </c>
      <c r="C51" s="512">
        <f>'BW6-Harvest and Wash-Pack'!$F$10</f>
        <v>52.7684</v>
      </c>
      <c r="D51" s="520"/>
      <c r="E51" s="520"/>
      <c r="F51" s="526"/>
      <c r="G51" s="923" t="s">
        <v>852</v>
      </c>
      <c r="H51" s="969"/>
    </row>
    <row r="52" spans="2:8" ht="15" customHeight="1">
      <c r="B52" s="418" t="str">
        <f>'BW3-Variable Input'!$B$67</f>
        <v>Sani-Date 5.0 Wash Water Sanitizer</v>
      </c>
      <c r="C52" s="518"/>
      <c r="D52" s="524"/>
      <c r="E52" s="524"/>
      <c r="F52" s="531">
        <f>'BW3-Variable Input'!$H$220</f>
        <v>91.297297297297291</v>
      </c>
      <c r="G52" s="486"/>
      <c r="H52" s="976"/>
    </row>
    <row r="53" spans="2:8" ht="15" customHeight="1">
      <c r="B53" s="824" t="s">
        <v>508</v>
      </c>
      <c r="C53" s="444">
        <f>SUM(C49:C52)</f>
        <v>277.03409999999997</v>
      </c>
      <c r="D53" s="444">
        <f>SUM(D49:D52)</f>
        <v>14.792442634536425</v>
      </c>
      <c r="E53" s="444">
        <f>SUM(E49:E52)</f>
        <v>14.444040020263422</v>
      </c>
      <c r="F53" s="444">
        <f>SUM(F49:F52)</f>
        <v>91.297297297297291</v>
      </c>
      <c r="G53" s="447" t="s">
        <v>4</v>
      </c>
      <c r="H53" s="446">
        <f>SUM(C53:F53)</f>
        <v>397.56787995209709</v>
      </c>
    </row>
    <row r="54" spans="2:8" s="120" customFormat="1" ht="15" customHeight="1">
      <c r="B54" s="593"/>
      <c r="C54" s="133"/>
      <c r="D54" s="133"/>
      <c r="E54" s="133"/>
      <c r="F54" s="133"/>
      <c r="G54" s="133"/>
      <c r="H54" s="924"/>
    </row>
    <row r="55" spans="2:8" s="119" customFormat="1" ht="15" customHeight="1">
      <c r="B55" s="116" t="s">
        <v>662</v>
      </c>
      <c r="C55" s="133"/>
      <c r="D55" s="133"/>
      <c r="E55" s="133"/>
      <c r="F55" s="133"/>
      <c r="G55" s="229"/>
      <c r="H55" s="924"/>
    </row>
    <row r="56" spans="2:8" ht="15" customHeight="1">
      <c r="B56" s="921" t="s">
        <v>706</v>
      </c>
      <c r="C56" s="515"/>
      <c r="D56" s="438"/>
      <c r="E56" s="438"/>
      <c r="F56" s="529"/>
      <c r="G56" s="422"/>
      <c r="H56" s="974"/>
    </row>
    <row r="57" spans="2:8" ht="15" customHeight="1">
      <c r="B57" s="984" t="s">
        <v>42</v>
      </c>
      <c r="C57" s="517">
        <f>'BW2-Field Act. Labor &amp; Mach.'!$I$62</f>
        <v>10.55368</v>
      </c>
      <c r="D57" s="523">
        <f>'BW2-Field Act. Labor &amp; Mach.'!$K$62</f>
        <v>8.1859214566429603</v>
      </c>
      <c r="E57" s="523">
        <f>'BW2-Field Act. Labor &amp; Mach.'!$L$62</f>
        <v>7.508305016148265</v>
      </c>
      <c r="F57" s="530"/>
      <c r="G57" s="133"/>
      <c r="H57" s="969"/>
    </row>
    <row r="58" spans="2:8" ht="15" customHeight="1">
      <c r="B58" s="15" t="s">
        <v>43</v>
      </c>
      <c r="C58" s="517">
        <f>'BW2-Field Act. Labor &amp; Mach.'!$I$66</f>
        <v>5.27684</v>
      </c>
      <c r="D58" s="523">
        <f>'BW2-Field Act. Labor &amp; Mach.'!$K$66</f>
        <v>4.7393418269465482</v>
      </c>
      <c r="E58" s="523">
        <f>'BW2-Field Act. Labor &amp; Mach.'!$L$66</f>
        <v>4.8215303303156709</v>
      </c>
      <c r="F58" s="530"/>
      <c r="G58" s="133"/>
      <c r="H58" s="969"/>
    </row>
    <row r="59" spans="2:8" ht="15" customHeight="1">
      <c r="B59" s="984" t="s">
        <v>150</v>
      </c>
      <c r="C59" s="517">
        <f>'BW2-Field Act. Labor &amp; Mach.'!$I$65</f>
        <v>42.21472</v>
      </c>
      <c r="D59" s="523">
        <f>'BW2-Field Act. Labor &amp; Mach.'!$K$65</f>
        <v>3.4075700159999998</v>
      </c>
      <c r="E59" s="523">
        <f>'BW2-Field Act. Labor &amp; Mach.'!$L$65</f>
        <v>2.89283314099518</v>
      </c>
      <c r="F59" s="530"/>
      <c r="G59" s="133"/>
      <c r="H59" s="969"/>
    </row>
    <row r="60" spans="2:8" ht="15" customHeight="1">
      <c r="B60" s="15" t="s">
        <v>44</v>
      </c>
      <c r="C60" s="517">
        <f>'BW2-Field Act. Labor &amp; Mach.'!$I$67</f>
        <v>5.27684</v>
      </c>
      <c r="D60" s="523">
        <f>'BW2-Field Act. Labor &amp; Mach.'!$K$67</f>
        <v>4.5754035882945541</v>
      </c>
      <c r="E60" s="523">
        <f>'BW2-Field Act. Labor &amp; Mach.'!$L$67</f>
        <v>8.7882358546602415</v>
      </c>
      <c r="F60" s="530"/>
      <c r="G60" s="133"/>
      <c r="H60" s="969"/>
    </row>
    <row r="61" spans="2:8" ht="15" customHeight="1">
      <c r="B61" s="15" t="s">
        <v>45</v>
      </c>
      <c r="C61" s="517">
        <f>'BW2-Field Act. Labor &amp; Mach.'!$I$69</f>
        <v>14.511310000000002</v>
      </c>
      <c r="D61" s="523">
        <f>'BW2-Field Act. Labor &amp; Mach.'!$K$69</f>
        <v>5.9046727740142977</v>
      </c>
      <c r="E61" s="523">
        <f>'BW2-Field Act. Labor &amp; Mach.'!$L$69</f>
        <v>8.041581086300118</v>
      </c>
      <c r="F61" s="530"/>
      <c r="G61" s="133"/>
      <c r="H61" s="969"/>
    </row>
    <row r="62" spans="2:8" ht="15" customHeight="1">
      <c r="B62" s="417" t="str">
        <f>'BW3-Variable Input'!$B$33</f>
        <v>Winter cover crop seed</v>
      </c>
      <c r="C62" s="518"/>
      <c r="D62" s="524"/>
      <c r="E62" s="524"/>
      <c r="F62" s="527">
        <f>'BW3-Variable Input'!$C$33</f>
        <v>31.793452380952385</v>
      </c>
      <c r="G62" s="486"/>
      <c r="H62" s="976"/>
    </row>
    <row r="63" spans="2:8" ht="15" customHeight="1">
      <c r="B63" s="824" t="s">
        <v>508</v>
      </c>
      <c r="C63" s="444">
        <f>SUM(C56:C62)</f>
        <v>77.833390000000009</v>
      </c>
      <c r="D63" s="444">
        <f>SUM(D56:D62)</f>
        <v>26.812909661898363</v>
      </c>
      <c r="E63" s="444">
        <f>SUM(E56:E62)</f>
        <v>32.052485428419473</v>
      </c>
      <c r="F63" s="444">
        <f>SUM(F56:F62)</f>
        <v>31.793452380952385</v>
      </c>
      <c r="G63" s="447" t="s">
        <v>4</v>
      </c>
      <c r="H63" s="446">
        <f>SUM(C63:F63)</f>
        <v>168.49223747127022</v>
      </c>
    </row>
    <row r="64" spans="2:8" s="120" customFormat="1" ht="15" customHeight="1">
      <c r="B64" s="593"/>
      <c r="C64" s="133"/>
      <c r="D64" s="133"/>
      <c r="E64" s="133"/>
      <c r="F64" s="133"/>
      <c r="G64" s="463"/>
      <c r="H64" s="463"/>
    </row>
    <row r="65" spans="2:10" s="453" customFormat="1" ht="15" customHeight="1">
      <c r="B65" s="116" t="s">
        <v>515</v>
      </c>
      <c r="C65" s="444">
        <f>C46+C53+C63</f>
        <v>1575.6651869883679</v>
      </c>
      <c r="D65" s="444">
        <f>D46+D53+D63</f>
        <v>230.7395414246316</v>
      </c>
      <c r="E65" s="444">
        <f>E46+E53+E63</f>
        <v>476.33591039932128</v>
      </c>
      <c r="F65" s="444">
        <f>F46+F53+F63</f>
        <v>927.26331597392925</v>
      </c>
      <c r="G65" s="447" t="s">
        <v>4</v>
      </c>
      <c r="H65" s="446">
        <f>SUM(C65:F65)</f>
        <v>3210.0039547862502</v>
      </c>
    </row>
    <row r="66" spans="2:10" ht="15" customHeight="1">
      <c r="B66" s="114"/>
      <c r="C66" s="133"/>
      <c r="D66" s="133"/>
      <c r="E66" s="133"/>
      <c r="F66" s="133"/>
      <c r="G66" s="969"/>
      <c r="H66" s="463"/>
    </row>
    <row r="67" spans="2:10">
      <c r="B67" s="1032"/>
      <c r="C67" s="1033"/>
      <c r="D67" s="1033"/>
      <c r="E67" s="1033"/>
      <c r="F67" s="1033"/>
      <c r="G67" s="1033"/>
      <c r="H67" s="1033"/>
    </row>
    <row r="68" spans="2:10">
      <c r="B68" s="916"/>
      <c r="C68" s="916"/>
      <c r="D68" s="916"/>
      <c r="E68" s="916"/>
      <c r="F68" s="916"/>
      <c r="G68" s="916"/>
      <c r="H68" s="916"/>
    </row>
    <row r="69" spans="2:10">
      <c r="B69" s="116" t="s">
        <v>664</v>
      </c>
      <c r="C69" s="134"/>
      <c r="D69" s="134"/>
      <c r="E69" s="134"/>
      <c r="F69" s="134"/>
      <c r="G69" s="134"/>
      <c r="H69" s="134"/>
    </row>
    <row r="70" spans="2:10">
      <c r="B70" s="985" t="s">
        <v>668</v>
      </c>
      <c r="C70" s="916"/>
      <c r="D70" s="916"/>
      <c r="E70" s="916"/>
      <c r="F70" s="916"/>
      <c r="G70" s="916"/>
      <c r="H70" s="986">
        <f>C46+C63</f>
        <v>1298.6310869883678</v>
      </c>
    </row>
    <row r="71" spans="2:10">
      <c r="B71" s="135" t="s">
        <v>667</v>
      </c>
      <c r="C71" s="916"/>
      <c r="D71" s="916"/>
      <c r="E71" s="916"/>
      <c r="F71" s="916"/>
      <c r="G71" s="916"/>
      <c r="H71" s="986">
        <f>D46+D63</f>
        <v>215.94709879009517</v>
      </c>
    </row>
    <row r="72" spans="2:10">
      <c r="B72" s="985" t="s">
        <v>669</v>
      </c>
      <c r="C72" s="134"/>
      <c r="D72" s="132"/>
      <c r="E72" s="132"/>
      <c r="F72" s="132"/>
      <c r="G72" s="134"/>
      <c r="H72" s="975">
        <f>F46+F63</f>
        <v>835.96601867663196</v>
      </c>
      <c r="I72" s="109"/>
    </row>
    <row r="73" spans="2:10">
      <c r="B73" s="831" t="s">
        <v>666</v>
      </c>
      <c r="C73" s="134"/>
      <c r="D73" s="132"/>
      <c r="E73" s="132"/>
      <c r="F73" s="132"/>
      <c r="H73" s="847">
        <f>SUM(H70:H72)</f>
        <v>2350.544204455095</v>
      </c>
      <c r="I73" s="109"/>
      <c r="J73" s="109"/>
    </row>
    <row r="74" spans="2:10">
      <c r="B74" s="985" t="s">
        <v>680</v>
      </c>
      <c r="C74" s="134"/>
      <c r="D74" s="134"/>
      <c r="E74" s="134"/>
      <c r="F74" s="134"/>
      <c r="G74" s="134"/>
      <c r="H74" s="975">
        <f>C53</f>
        <v>277.03409999999997</v>
      </c>
    </row>
    <row r="75" spans="2:10">
      <c r="B75" s="985" t="s">
        <v>445</v>
      </c>
      <c r="C75" s="916"/>
      <c r="D75" s="916"/>
      <c r="E75" s="916"/>
      <c r="F75" s="916"/>
      <c r="G75" s="916"/>
      <c r="H75" s="986">
        <f>D53</f>
        <v>14.792442634536425</v>
      </c>
    </row>
    <row r="76" spans="2:10">
      <c r="B76" s="985" t="s">
        <v>670</v>
      </c>
      <c r="C76" s="916"/>
      <c r="D76" s="916"/>
      <c r="E76" s="916"/>
      <c r="F76" s="916"/>
      <c r="G76" s="916"/>
      <c r="H76" s="986">
        <f>F53</f>
        <v>91.297297297297291</v>
      </c>
    </row>
    <row r="77" spans="2:10">
      <c r="B77" s="831" t="s">
        <v>671</v>
      </c>
      <c r="C77" s="43"/>
      <c r="D77" s="43"/>
      <c r="E77" s="832"/>
      <c r="F77" s="43"/>
      <c r="G77" s="43"/>
      <c r="H77" s="598">
        <f>SUM(H74:H76)</f>
        <v>383.12383993183369</v>
      </c>
    </row>
    <row r="78" spans="2:10">
      <c r="B78" s="833" t="s">
        <v>513</v>
      </c>
      <c r="C78" s="919"/>
      <c r="D78" s="919"/>
      <c r="E78" s="987"/>
      <c r="F78" s="988"/>
      <c r="G78" s="919"/>
      <c r="H78" s="818">
        <f>H73+H77</f>
        <v>2733.6680443869286</v>
      </c>
    </row>
    <row r="79" spans="2:10">
      <c r="B79" s="985" t="s">
        <v>672</v>
      </c>
      <c r="C79" s="135"/>
      <c r="D79" s="135"/>
      <c r="E79" s="472"/>
      <c r="F79" s="135"/>
      <c r="G79" s="135"/>
      <c r="H79" s="989">
        <f>E46+E63</f>
        <v>461.89187037905788</v>
      </c>
    </row>
    <row r="80" spans="2:10">
      <c r="B80" s="985" t="s">
        <v>673</v>
      </c>
      <c r="C80" s="135"/>
      <c r="D80" s="135"/>
      <c r="E80" s="472"/>
      <c r="F80" s="135"/>
      <c r="G80" s="135"/>
      <c r="H80" s="990">
        <f>E53</f>
        <v>14.444040020263422</v>
      </c>
    </row>
    <row r="81" spans="2:8">
      <c r="B81" s="837" t="s">
        <v>514</v>
      </c>
      <c r="C81" s="919"/>
      <c r="D81" s="919"/>
      <c r="E81" s="987"/>
      <c r="F81" s="988"/>
      <c r="G81" s="919"/>
      <c r="H81" s="819">
        <f>SUM(H79:H80)</f>
        <v>476.33591039932128</v>
      </c>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fitToHeight="2" orientation="portrait" verticalDpi="0"/>
  <extLst>
    <ext xmlns:mx="http://schemas.microsoft.com/office/mac/excel/2008/main" uri="{64002731-A6B0-56B0-2670-7721B7C09600}">
      <mx:PLV Mode="1" OnePage="0" WScale="6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82"/>
  <sheetViews>
    <sheetView showGridLines="0" view="pageLayout" topLeftCell="A35" workbookViewId="0">
      <selection activeCell="B50" sqref="B50"/>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14.7109375" style="108" customWidth="1"/>
    <col min="11" max="11" width="8.42578125" style="108" customWidth="1"/>
    <col min="12" max="12" width="6.85546875" style="108" customWidth="1"/>
    <col min="13" max="13" width="14.42578125" style="108" customWidth="1"/>
    <col min="14" max="15" width="8.7109375" style="108"/>
    <col min="16" max="16" width="12.42578125" style="108" customWidth="1"/>
    <col min="17" max="19" width="8.7109375" style="108"/>
    <col min="20" max="20" width="11.5703125" style="108" customWidth="1"/>
    <col min="21" max="16384" width="8.7109375" style="108"/>
  </cols>
  <sheetData>
    <row r="1" spans="2:20" ht="16" thickBot="1">
      <c r="F1" s="563"/>
      <c r="G1" s="1263" t="s">
        <v>512</v>
      </c>
      <c r="H1" s="1264"/>
    </row>
    <row r="2" spans="2:20" ht="25" customHeight="1">
      <c r="B2" s="1026" t="str">
        <f>'Workbook Index'!B29</f>
        <v>Brussels Sprouts</v>
      </c>
      <c r="C2" s="131"/>
      <c r="D2" s="131"/>
      <c r="E2" s="131"/>
      <c r="I2" s="564"/>
      <c r="J2" s="109"/>
      <c r="K2" s="109"/>
      <c r="L2" s="109"/>
      <c r="M2" s="109"/>
      <c r="N2" s="109"/>
      <c r="O2" s="109"/>
    </row>
    <row r="3" spans="2:20" ht="33.5" customHeight="1">
      <c r="B3" s="1027" t="s">
        <v>716</v>
      </c>
      <c r="C3" s="448" t="s">
        <v>367</v>
      </c>
      <c r="D3" s="556"/>
      <c r="E3" s="926" t="s">
        <v>14</v>
      </c>
      <c r="F3" s="552"/>
      <c r="G3" s="552"/>
      <c r="H3" s="552"/>
      <c r="M3" s="109"/>
      <c r="N3" s="117"/>
      <c r="O3" s="129"/>
      <c r="P3" s="112"/>
      <c r="Q3" s="112"/>
      <c r="R3" s="112"/>
      <c r="S3" s="112"/>
      <c r="T3" s="112"/>
    </row>
    <row r="4" spans="2:20">
      <c r="B4" s="927"/>
      <c r="C4" s="448" t="s">
        <v>47</v>
      </c>
      <c r="D4" s="556"/>
      <c r="E4" s="1066">
        <f>'BW1-Bed and Row Spacing'!J11</f>
        <v>6701.5384615384619</v>
      </c>
      <c r="F4" s="552"/>
      <c r="G4" s="552"/>
      <c r="H4" s="552"/>
      <c r="M4" s="109"/>
      <c r="N4" s="110"/>
      <c r="O4" s="111"/>
      <c r="P4" s="112"/>
      <c r="Q4" s="112"/>
      <c r="R4" s="112"/>
      <c r="S4" s="112"/>
      <c r="T4" s="112"/>
    </row>
    <row r="5" spans="2:20">
      <c r="B5" s="448"/>
      <c r="C5" s="448" t="s">
        <v>366</v>
      </c>
      <c r="D5" s="556"/>
      <c r="E5" s="1332" t="s">
        <v>829</v>
      </c>
      <c r="F5" s="1334"/>
      <c r="G5" s="1334"/>
      <c r="H5" s="1334"/>
      <c r="M5" s="127"/>
      <c r="N5" s="110"/>
      <c r="O5" s="111"/>
      <c r="P5" s="112"/>
      <c r="Q5" s="112"/>
      <c r="R5" s="112"/>
      <c r="S5" s="112"/>
      <c r="T5" s="112"/>
    </row>
    <row r="6" spans="2:20" ht="14" customHeight="1">
      <c r="B6" s="114"/>
      <c r="C6" s="448"/>
      <c r="D6" s="556"/>
      <c r="E6" s="1334"/>
      <c r="F6" s="1334"/>
      <c r="G6" s="1334"/>
      <c r="H6" s="1334"/>
      <c r="M6" s="112"/>
      <c r="N6" s="112"/>
      <c r="O6" s="112"/>
      <c r="P6" s="112"/>
      <c r="Q6" s="112"/>
    </row>
    <row r="7" spans="2:20">
      <c r="B7" s="1032"/>
      <c r="C7" s="1033"/>
      <c r="D7" s="1033"/>
      <c r="E7" s="1033"/>
      <c r="F7" s="1033"/>
      <c r="G7" s="1033"/>
      <c r="H7" s="1033"/>
    </row>
    <row r="8" spans="2:20">
      <c r="B8" s="553" t="s">
        <v>517</v>
      </c>
      <c r="C8" s="452"/>
      <c r="D8" s="452"/>
      <c r="E8" s="452"/>
      <c r="F8" s="452"/>
      <c r="G8" s="452"/>
      <c r="H8" s="452"/>
      <c r="I8" s="109"/>
    </row>
    <row r="9" spans="2:20" customFormat="1" ht="33" customHeight="1">
      <c r="B9" s="420" t="s">
        <v>711</v>
      </c>
      <c r="C9" s="421" t="s">
        <v>707</v>
      </c>
      <c r="D9" s="421" t="s">
        <v>708</v>
      </c>
      <c r="E9" s="421" t="s">
        <v>709</v>
      </c>
      <c r="F9" s="421" t="s">
        <v>710</v>
      </c>
      <c r="G9" s="919"/>
      <c r="H9" s="920"/>
      <c r="M9" s="112"/>
      <c r="N9" s="112"/>
      <c r="O9" s="112"/>
      <c r="P9" s="6"/>
      <c r="Q9" s="6"/>
    </row>
    <row r="10" spans="2:20" customFormat="1" ht="30">
      <c r="B10" s="993" t="s">
        <v>516</v>
      </c>
      <c r="C10" s="991" t="s">
        <v>849</v>
      </c>
      <c r="D10" s="991" t="s">
        <v>849</v>
      </c>
      <c r="E10" s="991" t="s">
        <v>849</v>
      </c>
      <c r="F10" s="991" t="s">
        <v>850</v>
      </c>
      <c r="G10" s="992"/>
      <c r="H10" s="462"/>
      <c r="M10" s="112"/>
      <c r="N10" s="112"/>
      <c r="O10" s="6"/>
      <c r="P10" s="6"/>
    </row>
    <row r="11" spans="2:20" ht="15" customHeight="1">
      <c r="B11" s="921" t="s">
        <v>298</v>
      </c>
      <c r="C11" s="929"/>
      <c r="D11" s="930"/>
      <c r="E11" s="930"/>
      <c r="F11" s="931"/>
      <c r="G11" s="932"/>
      <c r="H11" s="933"/>
      <c r="I11" s="458"/>
      <c r="J11" s="400"/>
      <c r="K11" s="112"/>
      <c r="L11" s="112"/>
      <c r="M11" s="113"/>
      <c r="N11" s="113"/>
      <c r="O11" s="113"/>
      <c r="P11" s="113"/>
      <c r="Q11" s="109"/>
    </row>
    <row r="12" spans="2:20" ht="15" customHeight="1">
      <c r="B12" s="62" t="s">
        <v>145</v>
      </c>
      <c r="C12" s="934">
        <f>'BW2-Field Act. Labor &amp; Mach.'!I9</f>
        <v>9.23447</v>
      </c>
      <c r="D12" s="935">
        <f>'BW2-Field Act. Labor &amp; Mach.'!K9</f>
        <v>7.1626812745625896</v>
      </c>
      <c r="E12" s="935">
        <f>'BW2-Field Act. Labor &amp; Mach.'!L9</f>
        <v>6.5697668891297312</v>
      </c>
      <c r="F12" s="936"/>
      <c r="G12" s="449"/>
      <c r="H12" s="555"/>
      <c r="I12" s="458"/>
      <c r="J12" s="400"/>
      <c r="K12" s="112"/>
      <c r="L12" s="112"/>
      <c r="M12" s="113"/>
      <c r="N12" s="113"/>
      <c r="O12" s="113"/>
      <c r="P12" s="113"/>
      <c r="Q12" s="109"/>
    </row>
    <row r="13" spans="2:20" ht="15" customHeight="1">
      <c r="B13" s="55" t="s">
        <v>305</v>
      </c>
      <c r="C13" s="934">
        <f>'BW2-Field Act. Labor &amp; Mach.'!I69</f>
        <v>14.511310000000002</v>
      </c>
      <c r="D13" s="935">
        <f>'BW2-Field Act. Labor &amp; Mach.'!K69</f>
        <v>5.9046727740142977</v>
      </c>
      <c r="E13" s="935">
        <f>'BW2-Field Act. Labor &amp; Mach.'!L69</f>
        <v>8.041581086300118</v>
      </c>
      <c r="F13" s="936"/>
      <c r="G13" s="451"/>
      <c r="H13" s="555"/>
      <c r="I13" s="458"/>
      <c r="J13" s="400"/>
      <c r="K13" s="112"/>
      <c r="L13" s="112"/>
      <c r="M13" s="113"/>
      <c r="N13" s="113"/>
      <c r="O13" s="113"/>
      <c r="P13" s="113"/>
      <c r="Q13" s="109"/>
    </row>
    <row r="14" spans="2:20" ht="15" customHeight="1">
      <c r="B14" s="937" t="str">
        <f>'BW3-Variable Input'!B34</f>
        <v>Summer cover crop seed</v>
      </c>
      <c r="C14" s="938"/>
      <c r="D14" s="939"/>
      <c r="E14" s="939"/>
      <c r="F14" s="940">
        <f>'BW3-Variable Input'!C34</f>
        <v>32.346666666666671</v>
      </c>
      <c r="G14" s="590"/>
      <c r="H14" s="941"/>
      <c r="I14" s="458"/>
      <c r="J14" s="400"/>
      <c r="K14" s="112"/>
      <c r="L14" s="112"/>
      <c r="M14" s="113"/>
      <c r="N14" s="113"/>
      <c r="O14" s="113"/>
      <c r="P14" s="113"/>
      <c r="Q14" s="109"/>
    </row>
    <row r="15" spans="2:20" s="119" customFormat="1" ht="15" customHeight="1">
      <c r="B15" s="28"/>
      <c r="C15" s="942"/>
      <c r="D15" s="942"/>
      <c r="E15" s="942"/>
      <c r="F15" s="942"/>
      <c r="G15" s="451"/>
      <c r="H15" s="555"/>
      <c r="I15" s="458"/>
      <c r="J15" s="400"/>
      <c r="K15" s="121"/>
      <c r="L15" s="121"/>
      <c r="M15" s="113"/>
      <c r="N15" s="113"/>
      <c r="O15" s="113"/>
      <c r="P15" s="113"/>
      <c r="Q15" s="120"/>
    </row>
    <row r="16" spans="2:20" ht="19" customHeight="1">
      <c r="B16" s="921" t="s">
        <v>181</v>
      </c>
      <c r="C16" s="943"/>
      <c r="D16" s="944"/>
      <c r="E16" s="944"/>
      <c r="F16" s="945"/>
      <c r="G16" s="594"/>
      <c r="H16" s="594"/>
      <c r="I16" s="460"/>
      <c r="J16" s="400"/>
      <c r="K16" s="122"/>
      <c r="L16" s="121"/>
      <c r="M16" s="112"/>
      <c r="N16" s="112"/>
      <c r="O16" s="112"/>
      <c r="P16" s="112"/>
    </row>
    <row r="17" spans="2:16" ht="15" customHeight="1">
      <c r="B17" s="265" t="s">
        <v>307</v>
      </c>
      <c r="C17" s="946">
        <f>'BW2-Field Act. Labor &amp; Mach.'!$I$9</f>
        <v>9.23447</v>
      </c>
      <c r="D17" s="947">
        <f>'BW2-Field Act. Labor &amp; Mach.'!K9</f>
        <v>7.1626812745625896</v>
      </c>
      <c r="E17" s="947">
        <f>'BW2-Field Act. Labor &amp; Mach.'!L9</f>
        <v>6.5697668891297312</v>
      </c>
      <c r="F17" s="948"/>
      <c r="G17" s="949"/>
      <c r="H17" s="949"/>
      <c r="I17" s="457"/>
      <c r="J17" s="28"/>
      <c r="K17" s="112"/>
      <c r="L17" s="118"/>
      <c r="M17" s="118"/>
      <c r="N17" s="112"/>
      <c r="O17" s="112"/>
      <c r="P17" s="112"/>
    </row>
    <row r="18" spans="2:16" ht="15" customHeight="1">
      <c r="B18" s="448" t="s">
        <v>46</v>
      </c>
      <c r="C18" s="946">
        <f>'BW2-Field Act. Labor &amp; Mach.'!$I$10</f>
        <v>11.87289</v>
      </c>
      <c r="D18" s="947">
        <f>'BW2-Field Act. Labor &amp; Mach.'!K10</f>
        <v>16.900081383311999</v>
      </c>
      <c r="E18" s="947">
        <f>'BW2-Field Act. Labor &amp; Mach.'!L10</f>
        <v>23.703168100043012</v>
      </c>
      <c r="F18" s="948"/>
      <c r="G18" s="451"/>
      <c r="H18" s="949"/>
      <c r="I18" s="457"/>
      <c r="J18" s="28"/>
      <c r="K18" s="112"/>
      <c r="L18" s="112"/>
      <c r="M18" s="112"/>
      <c r="N18" s="118"/>
      <c r="O18" s="112"/>
      <c r="P18" s="112"/>
    </row>
    <row r="19" spans="2:16" ht="15" customHeight="1">
      <c r="B19" s="927" t="s">
        <v>69</v>
      </c>
      <c r="C19" s="946"/>
      <c r="D19" s="947"/>
      <c r="E19" s="947"/>
      <c r="F19" s="948">
        <f>'BW3-Variable Input'!$C$9</f>
        <v>116.66666666666667</v>
      </c>
      <c r="G19" s="451"/>
      <c r="H19" s="949"/>
      <c r="I19" s="457"/>
      <c r="J19" s="28"/>
      <c r="K19" s="112"/>
      <c r="L19" s="112"/>
      <c r="M19" s="112"/>
      <c r="N19" s="118"/>
      <c r="O19" s="112"/>
      <c r="P19" s="112"/>
    </row>
    <row r="20" spans="2:16" ht="15" customHeight="1">
      <c r="B20" s="448" t="s">
        <v>11</v>
      </c>
      <c r="C20" s="946">
        <f>'BW2-Field Act. Labor &amp; Mach.'!I13</f>
        <v>22.426569999999998</v>
      </c>
      <c r="D20" s="947">
        <f>'BW2-Field Act. Labor &amp; Mach.'!K13</f>
        <v>17.993866831056</v>
      </c>
      <c r="E20" s="947">
        <f>'BW2-Field Act. Labor &amp; Mach.'!L13</f>
        <v>44.771770188886023</v>
      </c>
      <c r="F20" s="948"/>
      <c r="G20" s="451"/>
      <c r="H20" s="555"/>
      <c r="I20" s="457"/>
      <c r="J20" s="28"/>
      <c r="K20" s="112"/>
      <c r="L20" s="112"/>
      <c r="M20" s="112"/>
      <c r="N20" s="118"/>
      <c r="O20" s="112"/>
      <c r="P20" s="112"/>
    </row>
    <row r="21" spans="2:16" ht="15" customHeight="1">
      <c r="B21" s="448" t="s">
        <v>137</v>
      </c>
      <c r="C21" s="946">
        <f>'BW2-Field Act. Labor &amp; Mach.'!I12</f>
        <v>6.59605</v>
      </c>
      <c r="D21" s="947">
        <f>'BW2-Field Act. Labor &amp; Mach.'!K12</f>
        <v>3.7281613670297151</v>
      </c>
      <c r="E21" s="947">
        <f>'BW2-Field Act. Labor &amp; Mach.'!L12</f>
        <v>3.4161206017736747</v>
      </c>
      <c r="F21" s="948"/>
      <c r="G21" s="451"/>
      <c r="H21" s="555"/>
      <c r="I21" s="457"/>
      <c r="J21" s="28"/>
      <c r="K21" s="112"/>
      <c r="L21" s="112"/>
      <c r="M21" s="112"/>
      <c r="N21" s="118"/>
      <c r="O21" s="112"/>
      <c r="P21" s="112"/>
    </row>
    <row r="22" spans="2:16" ht="15" customHeight="1">
      <c r="B22" s="448" t="s">
        <v>12</v>
      </c>
      <c r="C22" s="946">
        <f>'BW2-Field Act. Labor &amp; Mach.'!I14</f>
        <v>10.55368</v>
      </c>
      <c r="D22" s="947">
        <f>'BW2-Field Act. Labor &amp; Mach.'!K14</f>
        <v>9.2140341759999984</v>
      </c>
      <c r="E22" s="947">
        <f>'BW2-Field Act. Labor &amp; Mach.'!L14</f>
        <v>29.935417361494395</v>
      </c>
      <c r="F22" s="948"/>
      <c r="G22" s="451"/>
      <c r="H22" s="555"/>
      <c r="I22" s="457"/>
      <c r="J22" s="28"/>
      <c r="K22" s="112"/>
      <c r="L22" s="112"/>
      <c r="M22" s="112"/>
      <c r="N22" s="112"/>
      <c r="O22" s="112"/>
      <c r="P22" s="112"/>
    </row>
    <row r="23" spans="2:16" ht="15" customHeight="1">
      <c r="B23" s="448" t="s">
        <v>144</v>
      </c>
      <c r="C23" s="946">
        <f>'BW2-Field Act. Labor &amp; Mach.'!I15</f>
        <v>59.364449999999998</v>
      </c>
      <c r="D23" s="947">
        <f>'BW2-Field Act. Labor &amp; Mach.'!K15</f>
        <v>11.732543673988348</v>
      </c>
      <c r="E23" s="947">
        <f>'BW2-Field Act. Labor &amp; Mach.'!L15</f>
        <v>19.938595491388046</v>
      </c>
      <c r="F23" s="948"/>
      <c r="G23" s="451"/>
      <c r="H23" s="555"/>
      <c r="I23" s="457"/>
      <c r="J23" s="28"/>
      <c r="K23" s="112"/>
      <c r="L23" s="112"/>
      <c r="M23" s="112"/>
      <c r="N23" s="112"/>
      <c r="O23" s="112"/>
      <c r="P23" s="112"/>
    </row>
    <row r="24" spans="2:16" ht="15" customHeight="1">
      <c r="B24" s="927" t="s">
        <v>313</v>
      </c>
      <c r="C24" s="946"/>
      <c r="D24" s="947"/>
      <c r="E24" s="947"/>
      <c r="F24" s="948">
        <f>'BW3-Variable Input'!C23</f>
        <v>125.09538461538463</v>
      </c>
      <c r="G24" s="451"/>
      <c r="H24" s="555"/>
      <c r="I24" s="457"/>
      <c r="J24" s="28"/>
      <c r="K24" s="112"/>
      <c r="L24" s="112"/>
      <c r="M24" s="112"/>
      <c r="N24" s="112"/>
      <c r="O24" s="112"/>
      <c r="P24" s="112"/>
    </row>
    <row r="25" spans="2:16" ht="15" customHeight="1">
      <c r="B25" s="950" t="s">
        <v>192</v>
      </c>
      <c r="C25" s="951">
        <f>'BW2-Field Act. Labor &amp; Mach.'!I16*2</f>
        <v>21.10736</v>
      </c>
      <c r="D25" s="952">
        <f>'BW2-Field Act. Labor &amp; Mach.'!K16*2</f>
        <v>12.051200395575469</v>
      </c>
      <c r="E25" s="952">
        <f>'BW2-Field Act. Labor &amp; Mach.'!L16*2</f>
        <v>17.332156747393537</v>
      </c>
      <c r="F25" s="953"/>
      <c r="G25" s="590"/>
      <c r="H25" s="941"/>
      <c r="I25" s="457"/>
      <c r="J25" s="28"/>
      <c r="K25" s="112"/>
      <c r="L25" s="112"/>
      <c r="M25" s="112"/>
      <c r="N25" s="112"/>
      <c r="O25" s="112"/>
      <c r="P25" s="112"/>
    </row>
    <row r="26" spans="2:16" s="119" customFormat="1" ht="15" customHeight="1">
      <c r="B26" s="448"/>
      <c r="C26" s="451"/>
      <c r="D26" s="451"/>
      <c r="E26" s="451"/>
      <c r="F26" s="451"/>
      <c r="G26" s="451"/>
      <c r="H26" s="954"/>
      <c r="I26" s="457"/>
      <c r="J26" s="28"/>
      <c r="K26" s="121"/>
      <c r="L26" s="121"/>
      <c r="M26" s="121"/>
      <c r="N26" s="121"/>
      <c r="O26" s="121"/>
      <c r="P26" s="121"/>
    </row>
    <row r="27" spans="2:16" ht="15" customHeight="1">
      <c r="B27" s="921" t="s">
        <v>10</v>
      </c>
      <c r="C27" s="955"/>
      <c r="D27" s="956"/>
      <c r="E27" s="956"/>
      <c r="F27" s="957"/>
      <c r="G27" s="958"/>
      <c r="H27" s="933"/>
      <c r="I27" s="457"/>
      <c r="J27" s="28"/>
      <c r="K27" s="112"/>
      <c r="L27" s="112"/>
      <c r="M27" s="112"/>
      <c r="N27" s="112"/>
      <c r="O27" s="112"/>
      <c r="P27" s="112"/>
    </row>
    <row r="28" spans="2:16" ht="15" customHeight="1">
      <c r="B28" s="448" t="str">
        <f>'BW2-Field Act. Labor &amp; Mach.'!B21</f>
        <v>Transplant on bareground</v>
      </c>
      <c r="C28" s="959">
        <f>'BW2-Field Act. Labor &amp; Mach.'!I21</f>
        <v>237.45779999999999</v>
      </c>
      <c r="D28" s="947">
        <f>'BW2-Field Act. Labor &amp; Mach.'!K21</f>
        <v>36.893392063675897</v>
      </c>
      <c r="E28" s="947">
        <f>'BW2-Field Act. Labor &amp; Mach.'!L21</f>
        <v>114.11450861195542</v>
      </c>
      <c r="F28" s="948"/>
      <c r="G28" s="451"/>
      <c r="H28" s="555"/>
      <c r="I28" s="457"/>
      <c r="J28" s="400"/>
      <c r="K28" s="112"/>
      <c r="L28" s="112"/>
      <c r="M28" s="112"/>
      <c r="N28" s="112"/>
      <c r="O28" s="112"/>
      <c r="P28" s="112"/>
    </row>
    <row r="29" spans="2:16" s="145" customFormat="1" ht="15" customHeight="1">
      <c r="B29" s="927" t="s">
        <v>684</v>
      </c>
      <c r="C29" s="946"/>
      <c r="D29" s="947"/>
      <c r="E29" s="947"/>
      <c r="F29" s="948">
        <f>'BW4-Transplant Production'!F9</f>
        <v>113.32134000000002</v>
      </c>
      <c r="G29" s="923" t="s">
        <v>720</v>
      </c>
      <c r="H29" s="555"/>
      <c r="I29" s="457"/>
      <c r="J29" s="459"/>
      <c r="K29" s="144"/>
      <c r="L29" s="144"/>
      <c r="M29" s="144"/>
      <c r="N29" s="144"/>
      <c r="O29" s="144"/>
      <c r="P29" s="144"/>
    </row>
    <row r="30" spans="2:16" s="145" customFormat="1" ht="15" customHeight="1">
      <c r="B30" s="927" t="s">
        <v>683</v>
      </c>
      <c r="C30" s="946">
        <f>'BW4-Transplant Production'!D9</f>
        <v>234.6645618904748</v>
      </c>
      <c r="D30" s="947"/>
      <c r="E30" s="947"/>
      <c r="F30" s="948">
        <f>'BW4-Transplant Production'!J37</f>
        <v>205.57923235357339</v>
      </c>
      <c r="G30" s="923" t="s">
        <v>720</v>
      </c>
      <c r="H30" s="555"/>
      <c r="I30" s="457"/>
      <c r="J30" s="459"/>
      <c r="K30" s="144"/>
      <c r="L30" s="144"/>
      <c r="M30" s="144"/>
      <c r="N30" s="144"/>
      <c r="O30" s="144"/>
      <c r="P30" s="144"/>
    </row>
    <row r="31" spans="2:16" ht="15" customHeight="1">
      <c r="B31" s="966" t="s">
        <v>315</v>
      </c>
      <c r="C31" s="951"/>
      <c r="D31" s="952"/>
      <c r="E31" s="952"/>
      <c r="F31" s="953">
        <f>'BW3-Variable Input'!C11</f>
        <v>186</v>
      </c>
      <c r="G31" s="590"/>
      <c r="H31" s="941"/>
      <c r="I31" s="457"/>
      <c r="J31" s="400"/>
      <c r="K31" s="112"/>
      <c r="L31" s="112"/>
      <c r="M31" s="112"/>
      <c r="N31" s="112"/>
      <c r="O31" s="112"/>
      <c r="P31" s="112"/>
    </row>
    <row r="32" spans="2:16" ht="15" customHeight="1">
      <c r="B32" s="448"/>
      <c r="C32" s="451"/>
      <c r="D32" s="451"/>
      <c r="E32" s="451"/>
      <c r="F32" s="451"/>
      <c r="G32" s="451"/>
      <c r="H32" s="954"/>
      <c r="I32" s="457"/>
      <c r="J32" s="400"/>
      <c r="K32" s="112"/>
      <c r="L32" s="112"/>
      <c r="M32" s="112"/>
      <c r="N32" s="112"/>
      <c r="O32" s="112"/>
      <c r="P32" s="112"/>
    </row>
    <row r="33" spans="1:17" ht="15" customHeight="1">
      <c r="B33" s="921" t="s">
        <v>37</v>
      </c>
      <c r="C33" s="943"/>
      <c r="D33" s="944"/>
      <c r="E33" s="944"/>
      <c r="F33" s="945"/>
      <c r="G33" s="958"/>
      <c r="H33" s="933"/>
      <c r="I33" s="457"/>
      <c r="J33" s="400"/>
      <c r="K33" s="112"/>
      <c r="L33" s="112"/>
      <c r="M33" s="112"/>
      <c r="N33" s="112"/>
      <c r="O33" s="112"/>
      <c r="P33" s="112"/>
    </row>
    <row r="34" spans="1:17" ht="15" customHeight="1">
      <c r="B34" s="55" t="s">
        <v>179</v>
      </c>
      <c r="C34" s="946">
        <f>'BW2-Field Act. Labor &amp; Mach.'!$I$31*2</f>
        <v>10.55368</v>
      </c>
      <c r="D34" s="947">
        <f>'BW2-Field Act. Labor &amp; Mach.'!K31*2</f>
        <v>1.6570295666513035</v>
      </c>
      <c r="E34" s="947">
        <f>'BW2-Field Act. Labor &amp; Mach.'!L31*2</f>
        <v>27.363002680965153</v>
      </c>
      <c r="F34" s="948"/>
      <c r="G34" s="451"/>
      <c r="H34" s="451"/>
      <c r="I34" s="457"/>
      <c r="J34" s="400"/>
      <c r="K34" s="112"/>
      <c r="L34" s="118"/>
      <c r="M34" s="112"/>
      <c r="N34" s="112"/>
      <c r="O34" s="112"/>
      <c r="P34" s="112"/>
    </row>
    <row r="35" spans="1:17" ht="15" customHeight="1">
      <c r="B35" s="927" t="str">
        <f>'BW5-Irrigation'!$B$8</f>
        <v>Irrigation supply cost</v>
      </c>
      <c r="C35" s="946"/>
      <c r="D35" s="947"/>
      <c r="E35" s="947"/>
      <c r="F35" s="948">
        <f>'BW5-Irrigation'!$E$8</f>
        <v>32.773534158149545</v>
      </c>
      <c r="G35" s="1029" t="s">
        <v>851</v>
      </c>
      <c r="H35" s="451"/>
      <c r="I35" s="457"/>
      <c r="J35" s="400"/>
      <c r="K35" s="112"/>
      <c r="L35" s="118"/>
      <c r="M35" s="112"/>
      <c r="N35" s="112"/>
      <c r="O35" s="112"/>
      <c r="P35" s="112"/>
    </row>
    <row r="36" spans="1:17" ht="15" customHeight="1">
      <c r="B36" s="448" t="str">
        <f>'BW5-Irrigation'!$B$9</f>
        <v>Irrigation set-up labor cost</v>
      </c>
      <c r="C36" s="946">
        <f>'BW5-Irrigation'!$E$9</f>
        <v>50.735370890410955</v>
      </c>
      <c r="D36" s="947"/>
      <c r="E36" s="947"/>
      <c r="F36" s="948"/>
      <c r="G36" s="1029" t="s">
        <v>851</v>
      </c>
      <c r="H36" s="451"/>
      <c r="I36" s="457"/>
      <c r="J36" s="400"/>
      <c r="K36" s="112"/>
      <c r="L36" s="118"/>
      <c r="M36" s="112"/>
      <c r="N36" s="112"/>
      <c r="O36" s="112"/>
      <c r="P36" s="112"/>
    </row>
    <row r="37" spans="1:17" ht="15" customHeight="1">
      <c r="B37" s="448" t="s">
        <v>184</v>
      </c>
      <c r="C37" s="946">
        <f>'BW2-Field Act. Labor &amp; Mach.'!I39*'BW5-Irrigation'!C16</f>
        <v>126.64416</v>
      </c>
      <c r="D37" s="947"/>
      <c r="E37" s="947"/>
      <c r="F37" s="948"/>
      <c r="G37" s="451"/>
      <c r="H37" s="555"/>
      <c r="I37" s="236"/>
      <c r="J37" s="115"/>
      <c r="K37" s="118"/>
      <c r="L37" s="118"/>
      <c r="M37" s="118"/>
      <c r="N37" s="112"/>
      <c r="O37" s="112"/>
      <c r="P37" s="112"/>
    </row>
    <row r="38" spans="1:17" ht="15" customHeight="1">
      <c r="B38" s="55" t="str">
        <f>'BW2-Field Act. Labor &amp; Mach.'!$B$32</f>
        <v>Seed buckwheat on plot edge</v>
      </c>
      <c r="C38" s="946">
        <f>'BW2-Field Act. Labor &amp; Mach.'!$I$32</f>
        <v>6.59605</v>
      </c>
      <c r="D38" s="947">
        <f>'BW2-Field Act. Labor &amp; Mach.'!K32</f>
        <v>0.70423756582680397</v>
      </c>
      <c r="E38" s="947">
        <f>'BW2-Field Act. Labor &amp; Mach.'!L32</f>
        <v>11.629276139410191</v>
      </c>
      <c r="F38" s="948"/>
      <c r="G38" s="451"/>
      <c r="H38" s="555"/>
      <c r="I38" s="457"/>
      <c r="J38" s="115"/>
      <c r="K38" s="112"/>
      <c r="L38" s="118"/>
      <c r="M38" s="112"/>
      <c r="N38" s="112"/>
      <c r="O38" s="112"/>
      <c r="P38" s="112"/>
    </row>
    <row r="39" spans="1:17" ht="15" customHeight="1">
      <c r="B39" s="176" t="str">
        <f>'BW3-Variable Input'!$B$36</f>
        <v>Buckwheat seed for edge of field</v>
      </c>
      <c r="C39" s="946"/>
      <c r="D39" s="947"/>
      <c r="E39" s="947"/>
      <c r="F39" s="948">
        <f>'BW3-Variable Input'!$C$36</f>
        <v>8.8000000000000007</v>
      </c>
      <c r="G39" s="451"/>
      <c r="H39" s="555"/>
      <c r="I39" s="457"/>
      <c r="J39" s="115"/>
      <c r="K39" s="112"/>
      <c r="L39" s="118"/>
      <c r="M39" s="112"/>
      <c r="N39" s="112"/>
      <c r="O39" s="112"/>
      <c r="P39" s="112"/>
    </row>
    <row r="40" spans="1:17" ht="15" customHeight="1">
      <c r="B40" s="55" t="s">
        <v>194</v>
      </c>
      <c r="C40" s="946">
        <f>'BW2-Field Act. Labor &amp; Mach.'!$I$28*2</f>
        <v>21.10736</v>
      </c>
      <c r="D40" s="947">
        <f>'BW2-Field Act. Labor &amp; Mach.'!K28*2</f>
        <v>8.7132183142146751</v>
      </c>
      <c r="E40" s="947">
        <f>'BW2-Field Act. Labor &amp; Mach.'!L28*2</f>
        <v>23.101468332237562</v>
      </c>
      <c r="F40" s="948"/>
      <c r="G40" s="451"/>
      <c r="H40" s="555"/>
      <c r="I40" s="457"/>
      <c r="J40" s="115"/>
      <c r="K40" s="112"/>
      <c r="L40" s="118"/>
      <c r="M40" s="112"/>
      <c r="N40" s="112"/>
      <c r="O40" s="112"/>
      <c r="P40" s="112"/>
    </row>
    <row r="41" spans="1:17" ht="15" customHeight="1">
      <c r="B41" s="55" t="str">
        <f>'BW2-Field Act. Labor &amp; Mach.'!$B$34</f>
        <v>Scuffle hoe</v>
      </c>
      <c r="C41" s="946">
        <f>'BW2-Field Act. Labor &amp; Mach.'!$I$34</f>
        <v>98.940749999999994</v>
      </c>
      <c r="D41" s="947"/>
      <c r="E41" s="947"/>
      <c r="F41" s="948"/>
      <c r="G41" s="451"/>
      <c r="H41" s="555"/>
      <c r="I41" s="457"/>
      <c r="J41" s="115"/>
      <c r="K41" s="112"/>
      <c r="L41" s="118"/>
      <c r="M41" s="112"/>
      <c r="N41" s="112"/>
      <c r="O41" s="112"/>
      <c r="P41" s="112"/>
    </row>
    <row r="42" spans="1:17" ht="15" customHeight="1">
      <c r="B42" s="55" t="s">
        <v>180</v>
      </c>
      <c r="C42" s="946">
        <f>'BW2-Field Act. Labor &amp; Mach.'!$I$29*2</f>
        <v>63.32208</v>
      </c>
      <c r="D42" s="947">
        <f>'BW2-Field Act. Labor &amp; Mach.'!K29*2</f>
        <v>18.849340278005133</v>
      </c>
      <c r="E42" s="947">
        <f>'BW2-Field Act. Labor &amp; Mach.'!L29*2</f>
        <v>51.654848024316109</v>
      </c>
      <c r="F42" s="948"/>
      <c r="G42" s="451"/>
      <c r="H42" s="555"/>
      <c r="I42" s="457"/>
      <c r="J42" s="115"/>
      <c r="K42" s="112"/>
      <c r="L42" s="118"/>
      <c r="M42" s="112"/>
      <c r="N42" s="112"/>
      <c r="O42" s="112"/>
      <c r="P42" s="112"/>
    </row>
    <row r="43" spans="1:17" ht="15" customHeight="1">
      <c r="B43" s="54" t="str">
        <f>'BW2-Field Act. Labor &amp; Mach.'!$B$38</f>
        <v>Undersow clover</v>
      </c>
      <c r="C43" s="946">
        <f>'BW2-Field Act. Labor &amp; Mach.'!$I$38</f>
        <v>7.91526</v>
      </c>
      <c r="D43" s="947"/>
      <c r="E43" s="947"/>
      <c r="F43" s="948"/>
      <c r="G43" s="451"/>
      <c r="H43" s="555"/>
      <c r="I43" s="457"/>
      <c r="J43" s="115"/>
      <c r="K43" s="112"/>
      <c r="L43" s="118"/>
      <c r="M43" s="112"/>
      <c r="N43" s="112"/>
      <c r="O43" s="112"/>
      <c r="P43" s="112"/>
    </row>
    <row r="44" spans="1:17" ht="15" customHeight="1">
      <c r="B44" s="176" t="str">
        <f>'BW3-Variable Input'!$B$37</f>
        <v>Undersown medium red clover seed</v>
      </c>
      <c r="C44" s="946"/>
      <c r="D44" s="947"/>
      <c r="E44" s="947"/>
      <c r="F44" s="948">
        <f>'BW3-Variable Input'!$C$37</f>
        <v>35.200000000000003</v>
      </c>
      <c r="G44" s="451"/>
      <c r="H44" s="555"/>
      <c r="I44" s="457"/>
      <c r="J44" s="115"/>
      <c r="K44" s="112"/>
      <c r="L44" s="118"/>
      <c r="M44" s="112"/>
      <c r="N44" s="112"/>
      <c r="O44" s="112"/>
      <c r="P44" s="112"/>
    </row>
    <row r="45" spans="1:17" ht="15" customHeight="1">
      <c r="B45" s="55" t="s">
        <v>327</v>
      </c>
      <c r="C45" s="946">
        <f>'BW2-Field Act. Labor &amp; Mach.'!I37*4</f>
        <v>52.7684</v>
      </c>
      <c r="D45" s="947">
        <f>'BW2-Field Act. Labor &amp; Mach.'!K37*4</f>
        <v>40.728886581040129</v>
      </c>
      <c r="E45" s="947">
        <f>'BW2-Field Act. Labor &amp; Mach.'!L37*4</f>
        <v>52.41973239570433</v>
      </c>
      <c r="F45" s="948"/>
      <c r="G45" s="451"/>
      <c r="H45" s="451"/>
      <c r="I45" s="457"/>
      <c r="J45" s="400"/>
      <c r="K45" s="112"/>
      <c r="L45" s="118"/>
      <c r="M45" s="112"/>
      <c r="N45" s="112"/>
      <c r="O45" s="112"/>
      <c r="P45" s="112"/>
    </row>
    <row r="46" spans="1:17" ht="15" customHeight="1">
      <c r="B46" s="764" t="s">
        <v>501</v>
      </c>
      <c r="C46" s="946"/>
      <c r="D46" s="947"/>
      <c r="E46" s="947"/>
      <c r="F46" s="948">
        <f>'BW3-Variable Input'!C55</f>
        <v>79.532288700479015</v>
      </c>
      <c r="G46" s="451"/>
      <c r="H46" s="558"/>
      <c r="I46" s="441"/>
      <c r="J46" s="441"/>
      <c r="K46" s="113"/>
      <c r="L46" s="109"/>
    </row>
    <row r="47" spans="1:17" ht="15" customHeight="1">
      <c r="B47" s="429" t="s">
        <v>195</v>
      </c>
      <c r="C47" s="951">
        <f>'BW2-Field Act. Labor &amp; Mach.'!I42</f>
        <v>72.556550000000001</v>
      </c>
      <c r="D47" s="952"/>
      <c r="E47" s="952"/>
      <c r="F47" s="953"/>
      <c r="G47" s="590"/>
      <c r="H47" s="590"/>
      <c r="I47" s="457"/>
      <c r="J47" s="400"/>
      <c r="K47" s="112"/>
      <c r="L47" s="118"/>
      <c r="M47" s="112"/>
      <c r="N47" s="112"/>
      <c r="O47" s="112"/>
      <c r="P47" s="112"/>
    </row>
    <row r="48" spans="1:17" s="453" customFormat="1" ht="15" customHeight="1">
      <c r="A48" s="475"/>
      <c r="B48" s="824" t="s">
        <v>508</v>
      </c>
      <c r="C48" s="444">
        <f>SUM(C12:C14, C17:C25, C28:C31,C34:C47)</f>
        <v>1148.1632727808858</v>
      </c>
      <c r="D48" s="444">
        <f>SUM(D12:D14, D17:D25, D28:D31,D34:D47)</f>
        <v>199.39602751951497</v>
      </c>
      <c r="E48" s="444">
        <f>SUM(E12:E14, E17:E25, E28:E31,E34:E47)</f>
        <v>440.56117954012706</v>
      </c>
      <c r="F48" s="444">
        <f>SUM(F12:F14, F17:F25, F28:F31,F34:F47)</f>
        <v>935.31511316092008</v>
      </c>
      <c r="G48" s="445" t="s">
        <v>4</v>
      </c>
      <c r="H48" s="446">
        <f>SUM(C48:F48)</f>
        <v>2723.4355930014481</v>
      </c>
      <c r="I48" s="117"/>
      <c r="J48" s="476"/>
      <c r="L48" s="476"/>
      <c r="M48" s="477"/>
      <c r="N48" s="477"/>
      <c r="O48" s="477"/>
      <c r="P48" s="477"/>
      <c r="Q48" s="475"/>
    </row>
    <row r="49" spans="1:17" s="120" customFormat="1" ht="15" customHeight="1">
      <c r="B49" s="593"/>
      <c r="C49" s="451"/>
      <c r="D49" s="451"/>
      <c r="E49" s="451"/>
      <c r="F49" s="451"/>
      <c r="G49" s="960"/>
      <c r="H49" s="449"/>
    </row>
    <row r="50" spans="1:17" s="119" customFormat="1" ht="15" customHeight="1">
      <c r="B50" s="116" t="s">
        <v>914</v>
      </c>
      <c r="C50" s="451"/>
      <c r="D50" s="451"/>
      <c r="E50" s="451"/>
      <c r="F50" s="451"/>
      <c r="G50" s="960"/>
      <c r="H50" s="449"/>
    </row>
    <row r="51" spans="1:17" ht="15" customHeight="1">
      <c r="A51" s="109"/>
      <c r="B51" s="921" t="s">
        <v>3</v>
      </c>
      <c r="C51" s="943"/>
      <c r="D51" s="956"/>
      <c r="E51" s="956"/>
      <c r="F51" s="957"/>
      <c r="G51" s="589"/>
      <c r="H51" s="591"/>
      <c r="I51" s="415"/>
      <c r="J51" s="118"/>
      <c r="L51" s="112"/>
      <c r="M51" s="111"/>
      <c r="N51" s="111"/>
      <c r="O51" s="111"/>
      <c r="P51" s="111"/>
      <c r="Q51" s="109"/>
    </row>
    <row r="52" spans="1:17" ht="15" customHeight="1">
      <c r="A52" s="109"/>
      <c r="B52" s="448" t="s">
        <v>182</v>
      </c>
      <c r="C52" s="946">
        <f>'BW6-Harvest and Wash-Pack'!D11</f>
        <v>1055.3679999999999</v>
      </c>
      <c r="D52" s="947">
        <f>'BW2-Field Act. Labor &amp; Mach.'!K54</f>
        <v>0.13284863512476036</v>
      </c>
      <c r="E52" s="947">
        <f>'BW2-Field Act. Labor &amp; Mach.'!L54</f>
        <v>0.73508522727272718</v>
      </c>
      <c r="F52" s="948"/>
      <c r="G52" s="923" t="s">
        <v>852</v>
      </c>
      <c r="H52" s="449"/>
      <c r="I52" s="415"/>
      <c r="J52" s="118"/>
      <c r="L52" s="112"/>
      <c r="M52" s="113"/>
      <c r="N52" s="113"/>
      <c r="O52" s="113"/>
      <c r="P52" s="113"/>
      <c r="Q52" s="109"/>
    </row>
    <row r="53" spans="1:17" ht="15" customHeight="1">
      <c r="A53" s="109"/>
      <c r="B53" s="950" t="s">
        <v>349</v>
      </c>
      <c r="C53" s="951">
        <f>'BW6-Harvest and Wash-Pack'!F11</f>
        <v>659.60500000000002</v>
      </c>
      <c r="D53" s="952"/>
      <c r="E53" s="952"/>
      <c r="F53" s="953"/>
      <c r="G53" s="925" t="s">
        <v>852</v>
      </c>
      <c r="H53" s="452"/>
      <c r="I53" s="415"/>
      <c r="J53" s="118"/>
      <c r="L53" s="112"/>
      <c r="M53" s="113"/>
      <c r="N53" s="113"/>
      <c r="O53" s="113"/>
      <c r="P53" s="113"/>
      <c r="Q53" s="109"/>
    </row>
    <row r="54" spans="1:17" s="453" customFormat="1" ht="15" customHeight="1">
      <c r="A54" s="475"/>
      <c r="B54" s="824" t="s">
        <v>508</v>
      </c>
      <c r="C54" s="444">
        <f>SUM(C52:C53)</f>
        <v>1714.973</v>
      </c>
      <c r="D54" s="444">
        <f>SUM(D52:D53)</f>
        <v>0.13284863512476036</v>
      </c>
      <c r="E54" s="444">
        <f>SUM(E52:E53)</f>
        <v>0.73508522727272718</v>
      </c>
      <c r="F54" s="444">
        <f>SUM(F52:F53)</f>
        <v>0</v>
      </c>
      <c r="G54" s="445" t="s">
        <v>4</v>
      </c>
      <c r="H54" s="446">
        <f>SUM(C54:F54)</f>
        <v>1715.8409338623974</v>
      </c>
      <c r="I54" s="117"/>
      <c r="J54" s="476"/>
      <c r="L54" s="476"/>
      <c r="M54" s="477"/>
      <c r="N54" s="477"/>
      <c r="O54" s="477"/>
      <c r="P54" s="477"/>
      <c r="Q54" s="475"/>
    </row>
    <row r="55" spans="1:17" s="120" customFormat="1" ht="15" customHeight="1">
      <c r="B55" s="593"/>
      <c r="C55" s="451"/>
      <c r="D55" s="451"/>
      <c r="E55" s="451"/>
      <c r="F55" s="451"/>
      <c r="G55" s="451"/>
      <c r="H55" s="960"/>
    </row>
    <row r="56" spans="1:17" s="119" customFormat="1" ht="15" customHeight="1">
      <c r="B56" s="116" t="s">
        <v>662</v>
      </c>
      <c r="C56" s="451"/>
      <c r="D56" s="451"/>
      <c r="E56" s="451"/>
      <c r="F56" s="451"/>
      <c r="G56" s="807"/>
      <c r="H56" s="960"/>
      <c r="I56" s="120"/>
    </row>
    <row r="57" spans="1:17" ht="15" customHeight="1">
      <c r="A57" s="109"/>
      <c r="B57" s="921" t="s">
        <v>663</v>
      </c>
      <c r="C57" s="955"/>
      <c r="D57" s="956"/>
      <c r="E57" s="956"/>
      <c r="F57" s="957"/>
      <c r="G57" s="933"/>
      <c r="H57" s="933"/>
      <c r="I57" s="400"/>
      <c r="J57" s="112"/>
      <c r="L57" s="112"/>
      <c r="M57" s="113"/>
      <c r="N57" s="113"/>
      <c r="O57" s="113"/>
      <c r="P57" s="113"/>
      <c r="Q57" s="109"/>
    </row>
    <row r="58" spans="1:17" ht="15" customHeight="1">
      <c r="A58" s="109"/>
      <c r="B58" s="448" t="s">
        <v>42</v>
      </c>
      <c r="C58" s="946">
        <f>'BW2-Field Act. Labor &amp; Mach.'!$I$62</f>
        <v>10.55368</v>
      </c>
      <c r="D58" s="947">
        <f>'BW2-Field Act. Labor &amp; Mach.'!K62</f>
        <v>8.1859214566429603</v>
      </c>
      <c r="E58" s="947">
        <f>'BW2-Field Act. Labor &amp; Mach.'!L62</f>
        <v>7.508305016148265</v>
      </c>
      <c r="F58" s="948"/>
      <c r="G58" s="555"/>
      <c r="H58" s="555"/>
      <c r="I58" s="400"/>
      <c r="J58" s="112"/>
      <c r="L58" s="112"/>
      <c r="M58" s="113"/>
      <c r="N58" s="113"/>
      <c r="O58" s="113"/>
      <c r="P58" s="113"/>
      <c r="Q58" s="109"/>
    </row>
    <row r="59" spans="1:17" ht="15" customHeight="1">
      <c r="A59" s="109"/>
      <c r="B59" s="55" t="s">
        <v>43</v>
      </c>
      <c r="C59" s="946">
        <f>'BW2-Field Act. Labor &amp; Mach.'!$I$66</f>
        <v>5.27684</v>
      </c>
      <c r="D59" s="947">
        <f>'BW2-Field Act. Labor &amp; Mach.'!K66</f>
        <v>4.7393418269465482</v>
      </c>
      <c r="E59" s="947">
        <f>'BW2-Field Act. Labor &amp; Mach.'!L66</f>
        <v>4.8215303303156709</v>
      </c>
      <c r="F59" s="948"/>
      <c r="G59" s="555"/>
      <c r="H59" s="555"/>
      <c r="I59" s="400"/>
      <c r="J59" s="118"/>
      <c r="L59" s="112"/>
      <c r="M59" s="113"/>
      <c r="N59" s="113"/>
      <c r="O59" s="113"/>
      <c r="P59" s="113"/>
      <c r="Q59" s="109"/>
    </row>
    <row r="60" spans="1:17" ht="15" customHeight="1">
      <c r="A60" s="109"/>
      <c r="B60" s="448" t="s">
        <v>150</v>
      </c>
      <c r="C60" s="946">
        <f>'BW2-Field Act. Labor &amp; Mach.'!$I$65</f>
        <v>42.21472</v>
      </c>
      <c r="D60" s="947">
        <f>'BW2-Field Act. Labor &amp; Mach.'!K65</f>
        <v>3.4075700159999998</v>
      </c>
      <c r="E60" s="947">
        <f>'BW2-Field Act. Labor &amp; Mach.'!L65</f>
        <v>2.89283314099518</v>
      </c>
      <c r="F60" s="948"/>
      <c r="G60" s="555"/>
      <c r="H60" s="555"/>
      <c r="I60" s="115"/>
      <c r="J60" s="118"/>
      <c r="L60" s="112"/>
      <c r="M60" s="113"/>
      <c r="N60" s="113"/>
      <c r="O60" s="113"/>
      <c r="P60" s="113"/>
      <c r="Q60" s="109"/>
    </row>
    <row r="61" spans="1:17" ht="15" customHeight="1">
      <c r="A61" s="109"/>
      <c r="B61" s="55" t="s">
        <v>44</v>
      </c>
      <c r="C61" s="946">
        <f>'BW2-Field Act. Labor &amp; Mach.'!$I$67</f>
        <v>5.27684</v>
      </c>
      <c r="D61" s="947">
        <f>'BW2-Field Act. Labor &amp; Mach.'!K67</f>
        <v>4.5754035882945541</v>
      </c>
      <c r="E61" s="947">
        <f>'BW2-Field Act. Labor &amp; Mach.'!L67</f>
        <v>8.7882358546602415</v>
      </c>
      <c r="F61" s="948"/>
      <c r="G61" s="555"/>
      <c r="H61" s="555"/>
      <c r="I61" s="400"/>
      <c r="J61" s="112"/>
      <c r="L61" s="112"/>
      <c r="M61" s="113"/>
      <c r="N61" s="113"/>
      <c r="O61" s="113"/>
      <c r="P61" s="113"/>
      <c r="Q61" s="109"/>
    </row>
    <row r="62" spans="1:17" ht="15" customHeight="1">
      <c r="A62" s="109"/>
      <c r="B62" s="55" t="s">
        <v>45</v>
      </c>
      <c r="C62" s="946">
        <f>'BW2-Field Act. Labor &amp; Mach.'!$I$69</f>
        <v>14.511310000000002</v>
      </c>
      <c r="D62" s="947">
        <f>'BW2-Field Act. Labor &amp; Mach.'!K69</f>
        <v>5.9046727740142977</v>
      </c>
      <c r="E62" s="947">
        <f>'BW2-Field Act. Labor &amp; Mach.'!L69</f>
        <v>8.041581086300118</v>
      </c>
      <c r="F62" s="948"/>
      <c r="G62" s="555"/>
      <c r="H62" s="555"/>
      <c r="I62" s="400"/>
      <c r="J62" s="112"/>
      <c r="L62" s="112"/>
      <c r="M62" s="113"/>
      <c r="N62" s="113"/>
      <c r="O62" s="113"/>
      <c r="P62" s="113"/>
      <c r="Q62" s="109"/>
    </row>
    <row r="63" spans="1:17" ht="15" customHeight="1">
      <c r="A63" s="109"/>
      <c r="B63" s="961" t="str">
        <f>'BW3-Variable Input'!$B$33</f>
        <v>Winter cover crop seed</v>
      </c>
      <c r="C63" s="951"/>
      <c r="D63" s="952"/>
      <c r="E63" s="952"/>
      <c r="F63" s="953">
        <f>'BW3-Variable Input'!$C$33</f>
        <v>31.793452380952385</v>
      </c>
      <c r="G63" s="941"/>
      <c r="H63" s="941"/>
      <c r="I63" s="115"/>
      <c r="J63" s="118"/>
      <c r="L63" s="112"/>
      <c r="M63" s="113"/>
      <c r="N63" s="113"/>
      <c r="O63" s="113"/>
      <c r="P63" s="113"/>
      <c r="Q63" s="109"/>
    </row>
    <row r="64" spans="1:17" s="453" customFormat="1" ht="15" customHeight="1">
      <c r="A64" s="475"/>
      <c r="B64" s="824" t="s">
        <v>508</v>
      </c>
      <c r="C64" s="444">
        <f>SUM(C58:C63)</f>
        <v>77.833390000000009</v>
      </c>
      <c r="D64" s="444">
        <f>SUM(D58:D63)</f>
        <v>26.812909661898363</v>
      </c>
      <c r="E64" s="444">
        <f>SUM(E58:E63)</f>
        <v>32.052485428419473</v>
      </c>
      <c r="F64" s="444">
        <f>SUM(F58:F63)</f>
        <v>31.793452380952385</v>
      </c>
      <c r="G64" s="447" t="s">
        <v>4</v>
      </c>
      <c r="H64" s="446">
        <f>SUM(C64:F64)</f>
        <v>168.49223747127022</v>
      </c>
      <c r="I64" s="117"/>
      <c r="J64" s="476"/>
      <c r="L64" s="476"/>
      <c r="M64" s="478"/>
      <c r="N64" s="478"/>
      <c r="O64" s="478"/>
      <c r="P64" s="478"/>
      <c r="Q64" s="475"/>
    </row>
    <row r="65" spans="1:18" s="120" customFormat="1">
      <c r="B65" s="593"/>
    </row>
    <row r="66" spans="1:18" s="453" customFormat="1" ht="15" customHeight="1">
      <c r="A66" s="475"/>
      <c r="B66" s="116" t="s">
        <v>515</v>
      </c>
      <c r="C66" s="444">
        <f>C48+C54+C64</f>
        <v>2940.9696627808853</v>
      </c>
      <c r="D66" s="444">
        <f>D48+D54+D64</f>
        <v>226.34178581653811</v>
      </c>
      <c r="E66" s="444">
        <f>E48+E54+E64</f>
        <v>473.34875019581926</v>
      </c>
      <c r="F66" s="444">
        <f>F48+F54+F64</f>
        <v>967.10856554187251</v>
      </c>
      <c r="G66" s="447" t="s">
        <v>4</v>
      </c>
      <c r="H66" s="446">
        <f>SUM(C66:F66)</f>
        <v>4607.7687643351155</v>
      </c>
      <c r="I66" s="117"/>
      <c r="J66" s="476"/>
      <c r="L66" s="476"/>
      <c r="M66" s="478"/>
      <c r="N66" s="478"/>
      <c r="O66" s="478"/>
      <c r="P66" s="478"/>
      <c r="Q66" s="475"/>
    </row>
    <row r="67" spans="1:18" ht="15" customHeight="1">
      <c r="B67" s="114"/>
      <c r="C67" s="451"/>
      <c r="D67" s="451"/>
      <c r="E67" s="451"/>
      <c r="F67" s="451"/>
      <c r="G67" s="451"/>
      <c r="H67" s="555"/>
      <c r="J67" s="110"/>
      <c r="L67" s="112"/>
      <c r="M67" s="112"/>
      <c r="N67" s="113"/>
      <c r="O67" s="113"/>
      <c r="P67" s="113"/>
      <c r="Q67" s="113"/>
      <c r="R67" s="109"/>
    </row>
    <row r="68" spans="1:18">
      <c r="B68" s="1032"/>
      <c r="C68" s="1033"/>
      <c r="D68" s="1033"/>
      <c r="E68" s="1033"/>
      <c r="F68" s="1033"/>
      <c r="G68" s="1033"/>
      <c r="H68" s="1033"/>
    </row>
    <row r="70" spans="1:18">
      <c r="B70" s="116" t="s">
        <v>664</v>
      </c>
    </row>
    <row r="71" spans="1:18">
      <c r="B71" s="830" t="s">
        <v>668</v>
      </c>
      <c r="C71" s="556"/>
      <c r="D71" s="556"/>
      <c r="E71" s="556"/>
      <c r="F71" s="556"/>
      <c r="G71" s="556"/>
      <c r="H71" s="844">
        <f>C48+C64</f>
        <v>1225.9966627808858</v>
      </c>
    </row>
    <row r="72" spans="1:18">
      <c r="B72" s="5" t="s">
        <v>667</v>
      </c>
      <c r="C72" s="556"/>
      <c r="D72" s="556"/>
      <c r="E72" s="556"/>
      <c r="F72" s="556"/>
      <c r="G72" s="556"/>
      <c r="H72" s="844">
        <f>D48+D64</f>
        <v>226.20893718141335</v>
      </c>
    </row>
    <row r="73" spans="1:18">
      <c r="B73" s="830" t="s">
        <v>669</v>
      </c>
      <c r="C73" s="552"/>
      <c r="D73" s="448"/>
      <c r="E73" s="448"/>
      <c r="F73" s="448"/>
      <c r="G73" s="552"/>
      <c r="H73" s="765">
        <f>F48+F64</f>
        <v>967.10856554187251</v>
      </c>
      <c r="I73" s="110"/>
      <c r="L73" s="109"/>
      <c r="M73" s="109"/>
      <c r="N73" s="109"/>
      <c r="O73" s="109"/>
      <c r="P73" s="109"/>
    </row>
    <row r="74" spans="1:18">
      <c r="B74" s="831" t="s">
        <v>666</v>
      </c>
      <c r="C74" s="595"/>
      <c r="D74" s="116"/>
      <c r="E74" s="116"/>
      <c r="F74" s="116"/>
      <c r="G74" s="116"/>
      <c r="H74" s="847">
        <f>SUM(H71:H73)</f>
        <v>2419.3141655041718</v>
      </c>
      <c r="I74" s="109"/>
      <c r="J74" s="110"/>
      <c r="M74" s="109"/>
      <c r="N74" s="109"/>
      <c r="O74" s="109"/>
      <c r="P74" s="109"/>
      <c r="Q74" s="109"/>
    </row>
    <row r="75" spans="1:18">
      <c r="B75" s="830" t="s">
        <v>680</v>
      </c>
      <c r="C75" s="552"/>
      <c r="D75" s="552"/>
      <c r="E75" s="552"/>
      <c r="F75" s="552"/>
      <c r="G75" s="552"/>
      <c r="H75" s="765">
        <f>C54</f>
        <v>1714.973</v>
      </c>
      <c r="I75" s="109"/>
      <c r="J75" s="109"/>
    </row>
    <row r="76" spans="1:18">
      <c r="B76" s="830" t="s">
        <v>445</v>
      </c>
      <c r="C76" s="556"/>
      <c r="D76" s="556"/>
      <c r="E76" s="556"/>
      <c r="F76" s="556"/>
      <c r="G76" s="556"/>
      <c r="H76" s="844">
        <f>D54</f>
        <v>0.13284863512476036</v>
      </c>
    </row>
    <row r="77" spans="1:18">
      <c r="B77" s="830" t="s">
        <v>670</v>
      </c>
      <c r="C77" s="556"/>
      <c r="D77" s="556"/>
      <c r="E77" s="556"/>
      <c r="F77" s="556"/>
      <c r="G77" s="556"/>
      <c r="H77" s="844">
        <f>F54</f>
        <v>0</v>
      </c>
    </row>
    <row r="78" spans="1:18">
      <c r="B78" s="831" t="s">
        <v>671</v>
      </c>
      <c r="C78" s="43"/>
      <c r="D78" s="43"/>
      <c r="E78" s="832"/>
      <c r="F78" s="43"/>
      <c r="G78" s="43"/>
      <c r="H78" s="598">
        <f>SUM(H75:H77)</f>
        <v>1715.1058486351246</v>
      </c>
    </row>
    <row r="79" spans="1:18">
      <c r="B79" s="833" t="s">
        <v>513</v>
      </c>
      <c r="C79" s="834"/>
      <c r="D79" s="834"/>
      <c r="E79" s="835"/>
      <c r="F79" s="836"/>
      <c r="G79" s="834"/>
      <c r="H79" s="818">
        <f>H74+H78</f>
        <v>4134.4200141392967</v>
      </c>
    </row>
    <row r="80" spans="1:18">
      <c r="B80" s="830" t="s">
        <v>672</v>
      </c>
      <c r="C80" s="5"/>
      <c r="D80" s="5"/>
      <c r="E80" s="23"/>
      <c r="F80" s="5"/>
      <c r="G80" s="5"/>
      <c r="H80" s="25">
        <f>E48+E64</f>
        <v>472.61366496854652</v>
      </c>
    </row>
    <row r="81" spans="2:8">
      <c r="B81" s="830" t="s">
        <v>673</v>
      </c>
      <c r="C81" s="5"/>
      <c r="D81" s="5"/>
      <c r="E81" s="23"/>
      <c r="F81" s="5"/>
      <c r="G81" s="5"/>
      <c r="H81" s="49">
        <f>E54</f>
        <v>0.73508522727272718</v>
      </c>
    </row>
    <row r="82" spans="2:8">
      <c r="B82" s="837" t="s">
        <v>514</v>
      </c>
      <c r="C82" s="834"/>
      <c r="D82" s="834"/>
      <c r="E82" s="835"/>
      <c r="F82" s="836"/>
      <c r="G82" s="834"/>
      <c r="H82" s="819">
        <f>H80+H81</f>
        <v>473.34875019581926</v>
      </c>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6" top="0.5" bottom="0.25" header="0.5" footer="0.5"/>
  <pageSetup scale="58" orientation="portrait" verticalDpi="0"/>
  <extLst>
    <ext xmlns:mx="http://schemas.microsoft.com/office/mac/excel/2008/main" uri="{64002731-A6B0-56B0-2670-7721B7C09600}">
      <mx:PLV Mode="1" OnePage="0" WScale="67"/>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82"/>
  <sheetViews>
    <sheetView showGridLines="0" view="pageLayout" topLeftCell="A36" workbookViewId="0">
      <selection activeCell="B49" sqref="B49"/>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14.7109375" style="108" customWidth="1"/>
    <col min="11" max="11" width="8.42578125" style="108" customWidth="1"/>
    <col min="12" max="12" width="6.85546875" style="108" customWidth="1"/>
    <col min="13" max="13" width="14.42578125" style="108" customWidth="1"/>
    <col min="14" max="15" width="8.7109375" style="108"/>
    <col min="16" max="16" width="12.42578125" style="108" customWidth="1"/>
    <col min="17" max="19" width="8.7109375" style="108"/>
    <col min="20" max="20" width="11.5703125" style="108" customWidth="1"/>
    <col min="21" max="16384" width="8.7109375" style="108"/>
  </cols>
  <sheetData>
    <row r="1" spans="1:20" ht="16" thickBot="1">
      <c r="F1" s="563"/>
      <c r="G1" s="1263" t="s">
        <v>512</v>
      </c>
      <c r="H1" s="1264"/>
    </row>
    <row r="2" spans="1:20" ht="25" customHeight="1">
      <c r="B2" s="1024" t="str">
        <f>'Workbook Index'!B30</f>
        <v>Cabbage</v>
      </c>
      <c r="C2" s="221"/>
      <c r="D2" s="221"/>
      <c r="E2" s="221"/>
      <c r="I2" s="564"/>
      <c r="J2" s="120"/>
      <c r="K2" s="120"/>
      <c r="L2" s="120"/>
      <c r="M2" s="109"/>
      <c r="N2" s="109"/>
      <c r="O2" s="109"/>
    </row>
    <row r="3" spans="1:20" ht="33.5" customHeight="1">
      <c r="B3" s="1027" t="s">
        <v>716</v>
      </c>
      <c r="C3" s="132" t="s">
        <v>367</v>
      </c>
      <c r="D3" s="916"/>
      <c r="E3" s="917" t="s">
        <v>14</v>
      </c>
      <c r="F3" s="135"/>
      <c r="G3" s="135"/>
      <c r="H3" s="135"/>
      <c r="I3" s="130"/>
      <c r="N3" s="117"/>
      <c r="O3" s="129"/>
      <c r="P3" s="112"/>
      <c r="Q3" s="112"/>
      <c r="R3" s="112"/>
      <c r="S3" s="112"/>
      <c r="T3" s="112"/>
    </row>
    <row r="4" spans="1:20">
      <c r="B4" s="918"/>
      <c r="C4" s="132" t="s">
        <v>47</v>
      </c>
      <c r="D4" s="916"/>
      <c r="E4" s="1067">
        <f>'BW1-Bed and Row Spacing'!J12</f>
        <v>6701.5384615384619</v>
      </c>
      <c r="F4" s="135"/>
      <c r="G4" s="135"/>
      <c r="H4" s="135"/>
      <c r="I4" s="130"/>
      <c r="N4" s="110"/>
      <c r="O4" s="111"/>
      <c r="P4" s="112"/>
      <c r="Q4" s="112"/>
      <c r="R4" s="112"/>
      <c r="S4" s="112"/>
      <c r="T4" s="112"/>
    </row>
    <row r="5" spans="1:20" ht="15" customHeight="1">
      <c r="B5" s="915"/>
      <c r="C5" s="132" t="s">
        <v>366</v>
      </c>
      <c r="D5" s="916"/>
      <c r="E5" s="1338" t="s">
        <v>828</v>
      </c>
      <c r="F5" s="1338"/>
      <c r="G5" s="1338"/>
      <c r="H5" s="1338"/>
      <c r="I5" s="224"/>
      <c r="N5" s="110"/>
      <c r="O5" s="111"/>
      <c r="P5" s="112"/>
      <c r="Q5" s="112"/>
      <c r="R5" s="112"/>
      <c r="S5" s="112"/>
      <c r="T5" s="112"/>
    </row>
    <row r="6" spans="1:20" ht="14" customHeight="1">
      <c r="B6" s="223"/>
      <c r="C6" s="915"/>
      <c r="D6" s="916"/>
      <c r="E6" s="1339"/>
      <c r="F6" s="1339"/>
      <c r="G6" s="1339"/>
      <c r="H6" s="1339"/>
      <c r="I6" s="225"/>
      <c r="N6" s="112"/>
      <c r="O6" s="112"/>
      <c r="P6" s="112"/>
      <c r="Q6" s="112"/>
    </row>
    <row r="7" spans="1:20">
      <c r="B7" s="1032"/>
      <c r="C7" s="1033"/>
      <c r="D7" s="1033"/>
      <c r="E7" s="1033"/>
      <c r="F7" s="1033"/>
      <c r="G7" s="1033"/>
      <c r="H7" s="1033"/>
    </row>
    <row r="8" spans="1:20">
      <c r="B8" s="553" t="s">
        <v>517</v>
      </c>
      <c r="C8" s="492"/>
      <c r="D8" s="492"/>
      <c r="E8" s="492"/>
      <c r="F8" s="492"/>
      <c r="G8" s="492"/>
      <c r="H8" s="492"/>
      <c r="I8" s="109"/>
    </row>
    <row r="9" spans="1:20" customFormat="1" ht="33" customHeight="1">
      <c r="B9" s="420" t="s">
        <v>711</v>
      </c>
      <c r="C9" s="421" t="s">
        <v>707</v>
      </c>
      <c r="D9" s="421" t="s">
        <v>708</v>
      </c>
      <c r="E9" s="421" t="s">
        <v>709</v>
      </c>
      <c r="F9" s="421" t="s">
        <v>710</v>
      </c>
      <c r="G9" s="919"/>
      <c r="H9" s="920"/>
      <c r="M9" s="112"/>
      <c r="N9" s="112"/>
      <c r="O9" s="112"/>
      <c r="P9" s="6"/>
      <c r="Q9" s="6"/>
    </row>
    <row r="10" spans="1:20" customFormat="1" ht="30">
      <c r="B10" s="993" t="s">
        <v>516</v>
      </c>
      <c r="C10" s="991" t="s">
        <v>849</v>
      </c>
      <c r="D10" s="991" t="s">
        <v>849</v>
      </c>
      <c r="E10" s="991" t="s">
        <v>849</v>
      </c>
      <c r="F10" s="991" t="s">
        <v>850</v>
      </c>
      <c r="G10" s="992"/>
      <c r="H10" s="462"/>
      <c r="M10" s="112"/>
      <c r="N10" s="112"/>
      <c r="O10" s="6"/>
      <c r="P10" s="6"/>
    </row>
    <row r="11" spans="1:20" ht="15" customHeight="1">
      <c r="B11" s="921" t="s">
        <v>298</v>
      </c>
      <c r="C11" s="511"/>
      <c r="D11" s="519"/>
      <c r="E11" s="519"/>
      <c r="F11" s="525"/>
      <c r="G11" s="1335" t="s">
        <v>705</v>
      </c>
      <c r="H11" s="1335"/>
      <c r="I11" s="123"/>
      <c r="J11" s="110"/>
      <c r="K11" s="112"/>
      <c r="L11" s="112"/>
      <c r="M11" s="113"/>
      <c r="N11" s="113"/>
      <c r="O11" s="113"/>
      <c r="P11" s="113"/>
      <c r="Q11" s="109"/>
    </row>
    <row r="12" spans="1:20" ht="15" customHeight="1">
      <c r="A12" s="119"/>
      <c r="B12" s="265" t="s">
        <v>145</v>
      </c>
      <c r="C12" s="512">
        <f>('BW2-Field Act. Labor &amp; Mach.'!$I$9)/2</f>
        <v>4.617235</v>
      </c>
      <c r="D12" s="520">
        <f>('BW2-Field Act. Labor &amp; Mach.'!K9)/2</f>
        <v>3.5813406372812948</v>
      </c>
      <c r="E12" s="520">
        <f>('BW2-Field Act. Labor &amp; Mach.'!L9)/2</f>
        <v>3.2848834445648656</v>
      </c>
      <c r="F12" s="526"/>
      <c r="G12" s="1336"/>
      <c r="H12" s="1336"/>
      <c r="I12" s="123"/>
      <c r="J12" s="110"/>
      <c r="K12" s="112"/>
      <c r="L12" s="112"/>
      <c r="M12" s="113"/>
      <c r="N12" s="113"/>
      <c r="O12" s="113"/>
      <c r="P12" s="113"/>
      <c r="Q12" s="109"/>
    </row>
    <row r="13" spans="1:20" ht="15" customHeight="1">
      <c r="A13" s="119"/>
      <c r="B13" s="462" t="s">
        <v>45</v>
      </c>
      <c r="C13" s="512">
        <f>('BW2-Field Act. Labor &amp; Mach.'!$I$69)/2</f>
        <v>7.2556550000000009</v>
      </c>
      <c r="D13" s="520">
        <f>('BW2-Field Act. Labor &amp; Mach.'!K69)/2</f>
        <v>2.9523363870071488</v>
      </c>
      <c r="E13" s="520">
        <f>('BW2-Field Act. Labor &amp; Mach.'!L69)/2</f>
        <v>4.020790543150059</v>
      </c>
      <c r="F13" s="526"/>
      <c r="G13" s="1336"/>
      <c r="H13" s="1336"/>
      <c r="I13" s="123"/>
      <c r="J13" s="110"/>
      <c r="K13" s="112"/>
      <c r="L13" s="112"/>
      <c r="M13" s="113"/>
      <c r="N13" s="113"/>
      <c r="O13" s="113"/>
      <c r="P13" s="113"/>
      <c r="Q13" s="109"/>
    </row>
    <row r="14" spans="1:20">
      <c r="A14" s="119"/>
      <c r="B14" s="500" t="str">
        <f>'BW3-Variable Input'!$B$34</f>
        <v>Summer cover crop seed</v>
      </c>
      <c r="C14" s="513"/>
      <c r="D14" s="521"/>
      <c r="E14" s="521"/>
      <c r="F14" s="527">
        <f>('BW3-Variable Input'!$C$34)/2</f>
        <v>16.173333333333336</v>
      </c>
      <c r="G14" s="1337"/>
      <c r="H14" s="1337"/>
      <c r="I14" s="121"/>
      <c r="J14" s="121"/>
      <c r="K14" s="110"/>
      <c r="L14" s="121"/>
      <c r="M14" s="112"/>
      <c r="N14" s="112"/>
      <c r="O14" s="112"/>
      <c r="P14" s="112"/>
      <c r="Q14" s="112"/>
    </row>
    <row r="15" spans="1:20" s="119" customFormat="1">
      <c r="B15" s="264"/>
      <c r="C15" s="133"/>
      <c r="D15" s="133"/>
      <c r="E15" s="133"/>
      <c r="F15" s="133"/>
      <c r="G15" s="455"/>
      <c r="H15" s="464"/>
      <c r="I15" s="121"/>
      <c r="J15" s="121"/>
      <c r="K15" s="110"/>
      <c r="L15" s="121"/>
      <c r="M15" s="121"/>
      <c r="N15" s="121"/>
      <c r="O15" s="121"/>
      <c r="P15" s="121"/>
      <c r="Q15" s="121"/>
    </row>
    <row r="16" spans="1:20" ht="14" customHeight="1">
      <c r="A16" s="119"/>
      <c r="B16" s="922" t="s">
        <v>181</v>
      </c>
      <c r="C16" s="506"/>
      <c r="D16" s="507"/>
      <c r="E16" s="507"/>
      <c r="F16" s="508"/>
      <c r="G16" s="509"/>
      <c r="H16" s="509"/>
      <c r="I16" s="121"/>
      <c r="J16" s="110"/>
      <c r="K16" s="122"/>
      <c r="L16" s="121"/>
      <c r="M16" s="112"/>
      <c r="N16" s="112"/>
      <c r="O16" s="112"/>
      <c r="P16" s="112"/>
    </row>
    <row r="17" spans="1:16" ht="15" customHeight="1">
      <c r="A17" s="119"/>
      <c r="B17" s="265" t="s">
        <v>307</v>
      </c>
      <c r="C17" s="512">
        <f>'BW2-Field Act. Labor &amp; Mach.'!$I$9</f>
        <v>9.23447</v>
      </c>
      <c r="D17" s="520">
        <f>'BW2-Field Act. Labor &amp; Mach.'!K9</f>
        <v>7.1626812745625896</v>
      </c>
      <c r="E17" s="520">
        <f>'BW2-Field Act. Labor &amp; Mach.'!L9</f>
        <v>6.5697668891297312</v>
      </c>
      <c r="F17" s="526"/>
      <c r="G17" s="465"/>
      <c r="H17" s="465"/>
      <c r="I17" s="126"/>
      <c r="J17" s="5"/>
      <c r="K17" s="112"/>
      <c r="L17" s="118"/>
      <c r="M17" s="118"/>
      <c r="N17" s="112"/>
      <c r="O17" s="112"/>
      <c r="P17" s="112"/>
    </row>
    <row r="18" spans="1:16" ht="15" customHeight="1">
      <c r="A18" s="119"/>
      <c r="B18" s="132" t="s">
        <v>46</v>
      </c>
      <c r="C18" s="512">
        <f>'BW2-Field Act. Labor &amp; Mach.'!$I$10</f>
        <v>11.87289</v>
      </c>
      <c r="D18" s="520">
        <f>'BW2-Field Act. Labor &amp; Mach.'!K10</f>
        <v>16.900081383311999</v>
      </c>
      <c r="E18" s="520">
        <f>'BW2-Field Act. Labor &amp; Mach.'!L10</f>
        <v>23.703168100043012</v>
      </c>
      <c r="F18" s="526"/>
      <c r="G18" s="133"/>
      <c r="H18" s="465"/>
      <c r="I18" s="126"/>
      <c r="J18" s="5"/>
      <c r="K18" s="112"/>
      <c r="L18" s="112"/>
      <c r="M18" s="112"/>
      <c r="N18" s="118"/>
      <c r="O18" s="112"/>
      <c r="P18" s="112"/>
    </row>
    <row r="19" spans="1:16" ht="15" customHeight="1">
      <c r="A19" s="119"/>
      <c r="B19" s="151" t="s">
        <v>69</v>
      </c>
      <c r="C19" s="512"/>
      <c r="D19" s="520"/>
      <c r="E19" s="520"/>
      <c r="F19" s="526">
        <f>'BW3-Variable Input'!$C$9</f>
        <v>116.66666666666667</v>
      </c>
      <c r="G19" s="133"/>
      <c r="H19" s="465"/>
      <c r="I19" s="126"/>
      <c r="J19" s="5"/>
      <c r="K19" s="112"/>
      <c r="L19" s="112"/>
      <c r="M19" s="112"/>
      <c r="N19" s="118"/>
      <c r="O19" s="112"/>
      <c r="P19" s="112"/>
    </row>
    <row r="20" spans="1:16" ht="15" customHeight="1">
      <c r="A20" s="119"/>
      <c r="B20" s="132" t="s">
        <v>11</v>
      </c>
      <c r="C20" s="512">
        <f>'BW2-Field Act. Labor &amp; Mach.'!I13</f>
        <v>22.426569999999998</v>
      </c>
      <c r="D20" s="520">
        <f>'BW2-Field Act. Labor &amp; Mach.'!K13</f>
        <v>17.993866831056</v>
      </c>
      <c r="E20" s="520">
        <f>'BW2-Field Act. Labor &amp; Mach.'!L13</f>
        <v>44.771770188886023</v>
      </c>
      <c r="F20" s="526"/>
      <c r="G20" s="133"/>
      <c r="H20" s="463"/>
      <c r="I20" s="126"/>
      <c r="J20" s="5"/>
      <c r="K20" s="112"/>
      <c r="L20" s="112"/>
      <c r="M20" s="112"/>
      <c r="N20" s="118"/>
      <c r="O20" s="112"/>
      <c r="P20" s="112"/>
    </row>
    <row r="21" spans="1:16" ht="15" customHeight="1">
      <c r="A21" s="119"/>
      <c r="B21" s="132" t="s">
        <v>137</v>
      </c>
      <c r="C21" s="512">
        <f>'BW2-Field Act. Labor &amp; Mach.'!I12</f>
        <v>6.59605</v>
      </c>
      <c r="D21" s="520">
        <f>'BW2-Field Act. Labor &amp; Mach.'!K12</f>
        <v>3.7281613670297151</v>
      </c>
      <c r="E21" s="520">
        <f>'BW2-Field Act. Labor &amp; Mach.'!L12</f>
        <v>3.4161206017736747</v>
      </c>
      <c r="F21" s="526"/>
      <c r="G21" s="133"/>
      <c r="H21" s="465"/>
      <c r="I21" s="126"/>
      <c r="J21" s="5"/>
      <c r="K21" s="112"/>
      <c r="L21" s="112"/>
      <c r="M21" s="112"/>
      <c r="N21" s="118"/>
      <c r="O21" s="112"/>
      <c r="P21" s="112"/>
    </row>
    <row r="22" spans="1:16" ht="15" customHeight="1">
      <c r="A22" s="119"/>
      <c r="B22" s="132" t="s">
        <v>12</v>
      </c>
      <c r="C22" s="512">
        <f>'BW2-Field Act. Labor &amp; Mach.'!I14</f>
        <v>10.55368</v>
      </c>
      <c r="D22" s="520">
        <f>'BW2-Field Act. Labor &amp; Mach.'!K14</f>
        <v>9.2140341759999984</v>
      </c>
      <c r="E22" s="520">
        <f>'BW2-Field Act. Labor &amp; Mach.'!L14</f>
        <v>29.935417361494395</v>
      </c>
      <c r="F22" s="526"/>
      <c r="G22" s="133"/>
      <c r="H22" s="463"/>
      <c r="I22" s="126"/>
      <c r="J22" s="5"/>
      <c r="K22" s="112"/>
      <c r="L22" s="112"/>
      <c r="M22" s="112"/>
      <c r="N22" s="112"/>
      <c r="O22" s="112"/>
      <c r="P22" s="112"/>
    </row>
    <row r="23" spans="1:16" ht="15" customHeight="1">
      <c r="A23" s="119"/>
      <c r="B23" s="132" t="s">
        <v>144</v>
      </c>
      <c r="C23" s="512">
        <f>'BW2-Field Act. Labor &amp; Mach.'!I15</f>
        <v>59.364449999999998</v>
      </c>
      <c r="D23" s="520">
        <f>'BW2-Field Act. Labor &amp; Mach.'!K15</f>
        <v>11.732543673988348</v>
      </c>
      <c r="E23" s="520">
        <f>'BW2-Field Act. Labor &amp; Mach.'!L15</f>
        <v>19.938595491388046</v>
      </c>
      <c r="F23" s="526"/>
      <c r="G23" s="133"/>
      <c r="H23" s="463"/>
      <c r="I23" s="126"/>
      <c r="J23" s="5"/>
      <c r="K23" s="112"/>
      <c r="L23" s="112"/>
      <c r="M23" s="112"/>
      <c r="N23" s="112"/>
      <c r="O23" s="112"/>
      <c r="P23" s="112"/>
    </row>
    <row r="24" spans="1:16" ht="15" customHeight="1">
      <c r="A24" s="119"/>
      <c r="B24" s="151" t="s">
        <v>313</v>
      </c>
      <c r="C24" s="512"/>
      <c r="D24" s="520"/>
      <c r="E24" s="520"/>
      <c r="F24" s="526">
        <f>'BW3-Variable Input'!C23</f>
        <v>125.09538461538463</v>
      </c>
      <c r="G24" s="133"/>
      <c r="H24" s="463"/>
      <c r="I24" s="126"/>
      <c r="J24" s="5"/>
      <c r="K24" s="118"/>
      <c r="L24" s="118"/>
      <c r="M24" s="118"/>
      <c r="N24" s="112"/>
      <c r="O24" s="112"/>
      <c r="P24" s="112"/>
    </row>
    <row r="25" spans="1:16" ht="15" customHeight="1">
      <c r="A25" s="119"/>
      <c r="B25" s="416" t="s">
        <v>192</v>
      </c>
      <c r="C25" s="513">
        <f>'BW2-Field Act. Labor &amp; Mach.'!I16*2</f>
        <v>21.10736</v>
      </c>
      <c r="D25" s="521">
        <f>'BW2-Field Act. Labor &amp; Mach.'!K16*2</f>
        <v>12.051200395575469</v>
      </c>
      <c r="E25" s="521">
        <f>'BW2-Field Act. Labor &amp; Mach.'!L16*2</f>
        <v>17.332156747393537</v>
      </c>
      <c r="F25" s="527"/>
      <c r="G25" s="486"/>
      <c r="H25" s="485"/>
      <c r="I25" s="126"/>
      <c r="J25" s="5"/>
      <c r="K25" s="112"/>
      <c r="L25" s="112"/>
      <c r="M25" s="112"/>
      <c r="N25" s="112"/>
      <c r="O25" s="112"/>
      <c r="P25" s="112"/>
    </row>
    <row r="26" spans="1:16" ht="15" customHeight="1">
      <c r="A26" s="119"/>
      <c r="B26" s="132"/>
      <c r="C26" s="133"/>
      <c r="D26" s="133"/>
      <c r="E26" s="133"/>
      <c r="F26" s="133"/>
      <c r="G26" s="133"/>
      <c r="H26" s="466"/>
      <c r="I26" s="126"/>
      <c r="J26" s="5"/>
      <c r="K26" s="112"/>
      <c r="L26" s="112"/>
      <c r="M26" s="112"/>
      <c r="N26" s="112"/>
      <c r="O26" s="112"/>
      <c r="P26" s="112"/>
    </row>
    <row r="27" spans="1:16" ht="15" customHeight="1">
      <c r="A27" s="119"/>
      <c r="B27" s="921" t="s">
        <v>10</v>
      </c>
      <c r="C27" s="515"/>
      <c r="D27" s="438"/>
      <c r="E27" s="438"/>
      <c r="F27" s="529"/>
      <c r="G27" s="422"/>
      <c r="H27" s="494"/>
      <c r="I27" s="126"/>
      <c r="J27" s="5"/>
      <c r="K27" s="112"/>
      <c r="L27" s="112"/>
      <c r="M27" s="112"/>
      <c r="N27" s="112"/>
      <c r="O27" s="112"/>
      <c r="P27" s="112"/>
    </row>
    <row r="28" spans="1:16" ht="15" customHeight="1">
      <c r="A28" s="119"/>
      <c r="B28" s="132" t="str">
        <f>'BW2-Field Act. Labor &amp; Mach.'!B21</f>
        <v>Transplant on bareground</v>
      </c>
      <c r="C28" s="516">
        <f>'BW2-Field Act. Labor &amp; Mach.'!I21</f>
        <v>237.45779999999999</v>
      </c>
      <c r="D28" s="520">
        <f>'BW2-Field Act. Labor &amp; Mach.'!K21</f>
        <v>36.893392063675897</v>
      </c>
      <c r="E28" s="520">
        <f>'BW2-Field Act. Labor &amp; Mach.'!L21</f>
        <v>114.11450861195542</v>
      </c>
      <c r="F28" s="526"/>
      <c r="G28" s="133"/>
      <c r="H28" s="463"/>
      <c r="I28" s="126"/>
      <c r="J28" s="110"/>
      <c r="K28" s="112"/>
      <c r="L28" s="112"/>
      <c r="M28" s="112"/>
      <c r="N28" s="112"/>
      <c r="O28" s="112"/>
      <c r="P28" s="112"/>
    </row>
    <row r="29" spans="1:16" ht="15" customHeight="1">
      <c r="A29" s="119"/>
      <c r="B29" s="151" t="s">
        <v>685</v>
      </c>
      <c r="C29" s="512"/>
      <c r="D29" s="520"/>
      <c r="E29" s="520"/>
      <c r="F29" s="526">
        <f>'BW4-Transplant Production'!F10</f>
        <v>121.75455600000001</v>
      </c>
      <c r="G29" s="923" t="s">
        <v>720</v>
      </c>
      <c r="H29" s="463"/>
      <c r="I29" s="126"/>
      <c r="J29" s="5"/>
      <c r="K29" s="112"/>
      <c r="L29" s="112"/>
      <c r="M29" s="112"/>
      <c r="N29" s="112"/>
      <c r="O29" s="112"/>
      <c r="P29" s="112"/>
    </row>
    <row r="30" spans="1:16" ht="15" customHeight="1">
      <c r="A30" s="119"/>
      <c r="B30" s="151" t="s">
        <v>683</v>
      </c>
      <c r="C30" s="512">
        <f>'BW4-Transplant Production'!D10</f>
        <v>351.99684283571219</v>
      </c>
      <c r="D30" s="520"/>
      <c r="E30" s="520"/>
      <c r="F30" s="526">
        <f>'BW4-Transplant Production'!J37</f>
        <v>205.57923235357339</v>
      </c>
      <c r="G30" s="923" t="s">
        <v>720</v>
      </c>
      <c r="H30" s="463"/>
      <c r="I30" s="126"/>
      <c r="J30" s="5"/>
      <c r="K30" s="112"/>
      <c r="L30" s="112"/>
      <c r="M30" s="112"/>
      <c r="N30" s="112"/>
      <c r="O30" s="112"/>
      <c r="P30" s="112"/>
    </row>
    <row r="31" spans="1:16" ht="15" customHeight="1">
      <c r="A31" s="119"/>
      <c r="B31" s="418" t="s">
        <v>315</v>
      </c>
      <c r="C31" s="513"/>
      <c r="D31" s="521"/>
      <c r="E31" s="521"/>
      <c r="F31" s="527">
        <f>'BW3-Variable Input'!C11</f>
        <v>186</v>
      </c>
      <c r="G31" s="486"/>
      <c r="H31" s="485"/>
      <c r="I31" s="126"/>
      <c r="J31" s="110"/>
      <c r="K31" s="112"/>
      <c r="L31" s="112"/>
      <c r="M31" s="112"/>
      <c r="N31" s="112"/>
      <c r="O31" s="112"/>
      <c r="P31" s="112"/>
    </row>
    <row r="32" spans="1:16" ht="15" customHeight="1">
      <c r="A32" s="119"/>
      <c r="B32" s="132"/>
      <c r="C32" s="133"/>
      <c r="D32" s="133"/>
      <c r="E32" s="133"/>
      <c r="F32" s="133"/>
      <c r="G32" s="133"/>
      <c r="H32" s="466"/>
      <c r="I32" s="126"/>
      <c r="J32" s="110"/>
      <c r="K32" s="112"/>
      <c r="L32" s="112"/>
      <c r="M32" s="112"/>
      <c r="N32" s="112"/>
      <c r="O32" s="112"/>
      <c r="P32" s="112"/>
    </row>
    <row r="33" spans="1:20" ht="15" customHeight="1">
      <c r="A33" s="119"/>
      <c r="B33" s="921" t="s">
        <v>37</v>
      </c>
      <c r="C33" s="515"/>
      <c r="D33" s="438"/>
      <c r="E33" s="438"/>
      <c r="F33" s="529"/>
      <c r="G33" s="422"/>
      <c r="H33" s="494"/>
      <c r="I33" s="126"/>
      <c r="J33" s="110"/>
      <c r="K33" s="112"/>
      <c r="L33" s="112"/>
      <c r="M33" s="112"/>
      <c r="N33" s="112"/>
      <c r="O33" s="112"/>
      <c r="P33" s="112"/>
    </row>
    <row r="34" spans="1:20" ht="15" customHeight="1">
      <c r="A34" s="119"/>
      <c r="B34" s="462" t="s">
        <v>179</v>
      </c>
      <c r="C34" s="512">
        <f>'BW2-Field Act. Labor &amp; Mach.'!$I$31*2</f>
        <v>10.55368</v>
      </c>
      <c r="D34" s="520">
        <f>'BW2-Field Act. Labor &amp; Mach.'!K31*2</f>
        <v>1.6570295666513035</v>
      </c>
      <c r="E34" s="520">
        <f>'BW2-Field Act. Labor &amp; Mach.'!L31*2</f>
        <v>27.363002680965153</v>
      </c>
      <c r="F34" s="526"/>
      <c r="G34" s="133"/>
      <c r="H34" s="133"/>
      <c r="I34" s="126"/>
      <c r="J34" s="110"/>
      <c r="K34" s="112"/>
      <c r="L34" s="118"/>
      <c r="M34" s="112"/>
      <c r="N34" s="112"/>
      <c r="O34" s="112"/>
      <c r="P34" s="112"/>
    </row>
    <row r="35" spans="1:20" ht="15" customHeight="1">
      <c r="A35" s="119"/>
      <c r="B35" s="151" t="str">
        <f>'BW5-Irrigation'!$B$8</f>
        <v>Irrigation supply cost</v>
      </c>
      <c r="C35" s="512"/>
      <c r="D35" s="520"/>
      <c r="E35" s="520"/>
      <c r="F35" s="526">
        <f>'BW5-Irrigation'!$E$8</f>
        <v>32.773534158149545</v>
      </c>
      <c r="G35" s="1029" t="s">
        <v>851</v>
      </c>
      <c r="H35" s="133"/>
      <c r="I35" s="126"/>
      <c r="J35" s="110"/>
      <c r="K35" s="112"/>
      <c r="L35" s="118"/>
      <c r="M35" s="112"/>
      <c r="N35" s="112"/>
      <c r="O35" s="112"/>
      <c r="P35" s="112"/>
    </row>
    <row r="36" spans="1:20" ht="15" customHeight="1">
      <c r="A36" s="119"/>
      <c r="B36" s="151" t="str">
        <f>'BW5-Irrigation'!$B$9</f>
        <v>Irrigation set-up labor cost</v>
      </c>
      <c r="C36" s="512">
        <f>'BW5-Irrigation'!$E$9</f>
        <v>50.735370890410955</v>
      </c>
      <c r="D36" s="520"/>
      <c r="E36" s="520"/>
      <c r="F36" s="526"/>
      <c r="G36" s="1029" t="s">
        <v>851</v>
      </c>
      <c r="H36" s="133"/>
      <c r="I36" s="126"/>
      <c r="J36" s="110"/>
      <c r="K36" s="112"/>
      <c r="L36" s="118"/>
      <c r="M36" s="112"/>
      <c r="N36" s="112"/>
      <c r="O36" s="112"/>
      <c r="P36" s="112"/>
    </row>
    <row r="37" spans="1:20" ht="15" customHeight="1">
      <c r="A37" s="119"/>
      <c r="B37" s="132" t="s">
        <v>184</v>
      </c>
      <c r="C37" s="512">
        <f>'BW2-Field Act. Labor &amp; Mach.'!I39*'BW5-Irrigation'!C17</f>
        <v>126.64416</v>
      </c>
      <c r="D37" s="520"/>
      <c r="E37" s="520"/>
      <c r="F37" s="526"/>
      <c r="G37" s="133"/>
      <c r="H37" s="463"/>
      <c r="I37" s="125"/>
      <c r="J37" s="115"/>
      <c r="K37" s="118"/>
      <c r="L37" s="118"/>
      <c r="M37" s="118"/>
      <c r="N37" s="112"/>
      <c r="O37" s="112"/>
      <c r="P37" s="112"/>
    </row>
    <row r="38" spans="1:20" ht="15" customHeight="1">
      <c r="A38" s="119"/>
      <c r="B38" s="462" t="str">
        <f>'BW2-Field Act. Labor &amp; Mach.'!$B$32</f>
        <v>Seed buckwheat on plot edge</v>
      </c>
      <c r="C38" s="512">
        <f>'BW2-Field Act. Labor &amp; Mach.'!$I$32</f>
        <v>6.59605</v>
      </c>
      <c r="D38" s="520">
        <f>'BW2-Field Act. Labor &amp; Mach.'!K32</f>
        <v>0.70423756582680397</v>
      </c>
      <c r="E38" s="520">
        <f>'BW2-Field Act. Labor &amp; Mach.'!L32</f>
        <v>11.629276139410191</v>
      </c>
      <c r="F38" s="526"/>
      <c r="G38" s="133"/>
      <c r="H38" s="463"/>
      <c r="I38" s="126"/>
      <c r="J38" s="115"/>
      <c r="K38" s="112"/>
      <c r="L38" s="118"/>
      <c r="M38" s="112"/>
      <c r="N38" s="112"/>
      <c r="O38" s="112"/>
      <c r="P38" s="112"/>
    </row>
    <row r="39" spans="1:20" ht="15" customHeight="1">
      <c r="A39" s="119"/>
      <c r="B39" s="482" t="str">
        <f>'BW3-Variable Input'!$B$36</f>
        <v>Buckwheat seed for edge of field</v>
      </c>
      <c r="C39" s="512"/>
      <c r="D39" s="520"/>
      <c r="E39" s="520"/>
      <c r="F39" s="526">
        <f>'BW3-Variable Input'!$C$36</f>
        <v>8.8000000000000007</v>
      </c>
      <c r="G39" s="133"/>
      <c r="H39" s="463"/>
      <c r="I39" s="126"/>
      <c r="J39" s="115"/>
      <c r="K39" s="112"/>
      <c r="L39" s="118"/>
      <c r="M39" s="112"/>
      <c r="N39" s="112"/>
      <c r="O39" s="112"/>
      <c r="P39" s="112"/>
    </row>
    <row r="40" spans="1:20" ht="15" customHeight="1">
      <c r="A40" s="119"/>
      <c r="B40" s="462" t="s">
        <v>194</v>
      </c>
      <c r="C40" s="512">
        <f>'BW2-Field Act. Labor &amp; Mach.'!$I$28*2</f>
        <v>21.10736</v>
      </c>
      <c r="D40" s="520">
        <f>'BW2-Field Act. Labor &amp; Mach.'!K28*2</f>
        <v>8.7132183142146751</v>
      </c>
      <c r="E40" s="520">
        <f>'BW2-Field Act. Labor &amp; Mach.'!L28*2</f>
        <v>23.101468332237562</v>
      </c>
      <c r="F40" s="526"/>
      <c r="G40" s="133"/>
      <c r="H40" s="463"/>
      <c r="I40" s="126"/>
      <c r="J40" s="115"/>
      <c r="K40" s="112"/>
      <c r="L40" s="118"/>
      <c r="M40" s="112"/>
      <c r="N40" s="112"/>
      <c r="O40" s="112"/>
      <c r="P40" s="112"/>
    </row>
    <row r="41" spans="1:20" ht="15" customHeight="1">
      <c r="A41" s="119"/>
      <c r="B41" s="462" t="str">
        <f>'BW2-Field Act. Labor &amp; Mach.'!$B$34</f>
        <v>Scuffle hoe</v>
      </c>
      <c r="C41" s="512">
        <f>'BW2-Field Act. Labor &amp; Mach.'!$I$34</f>
        <v>98.940749999999994</v>
      </c>
      <c r="D41" s="520"/>
      <c r="E41" s="520"/>
      <c r="F41" s="526"/>
      <c r="G41" s="133"/>
      <c r="H41" s="133"/>
      <c r="I41" s="126"/>
      <c r="J41" s="110"/>
      <c r="K41" s="112"/>
      <c r="L41" s="118"/>
      <c r="M41" s="112"/>
      <c r="N41" s="112"/>
      <c r="O41" s="112"/>
      <c r="P41" s="112"/>
    </row>
    <row r="42" spans="1:20" ht="15" customHeight="1">
      <c r="A42" s="119"/>
      <c r="B42" s="462" t="s">
        <v>180</v>
      </c>
      <c r="C42" s="512">
        <f>'BW2-Field Act. Labor &amp; Mach.'!$I$29*2</f>
        <v>63.32208</v>
      </c>
      <c r="D42" s="520">
        <f>'BW2-Field Act. Labor &amp; Mach.'!K29*2</f>
        <v>18.849340278005133</v>
      </c>
      <c r="E42" s="520">
        <f>'BW2-Field Act. Labor &amp; Mach.'!L29*2</f>
        <v>51.654848024316109</v>
      </c>
      <c r="F42" s="526"/>
      <c r="G42" s="133"/>
      <c r="H42" s="463"/>
      <c r="I42" s="126"/>
      <c r="J42" s="115"/>
      <c r="K42" s="112"/>
      <c r="L42" s="118"/>
      <c r="M42" s="112"/>
      <c r="N42" s="112"/>
      <c r="O42" s="112"/>
      <c r="P42" s="112"/>
    </row>
    <row r="43" spans="1:20" ht="15" customHeight="1">
      <c r="A43" s="119"/>
      <c r="B43" s="482" t="str">
        <f>'BW2-Field Act. Labor &amp; Mach.'!$B$38</f>
        <v>Undersow clover</v>
      </c>
      <c r="C43" s="512">
        <f>'BW2-Field Act. Labor &amp; Mach.'!$I$38</f>
        <v>7.91526</v>
      </c>
      <c r="D43" s="520"/>
      <c r="E43" s="520"/>
      <c r="F43" s="526"/>
      <c r="G43" s="133"/>
      <c r="H43" s="463"/>
      <c r="I43" s="126"/>
      <c r="J43" s="115"/>
      <c r="K43" s="112"/>
      <c r="L43" s="118"/>
      <c r="M43" s="112"/>
      <c r="N43" s="112"/>
      <c r="O43" s="112"/>
      <c r="P43" s="112"/>
    </row>
    <row r="44" spans="1:20" ht="15" customHeight="1">
      <c r="A44" s="119"/>
      <c r="B44" s="482" t="str">
        <f>'BW3-Variable Input'!$B$37</f>
        <v>Undersown medium red clover seed</v>
      </c>
      <c r="C44" s="512"/>
      <c r="D44" s="520"/>
      <c r="E44" s="520"/>
      <c r="F44" s="526">
        <f>'BW3-Variable Input'!$C$37</f>
        <v>35.200000000000003</v>
      </c>
      <c r="G44" s="133"/>
      <c r="H44" s="463"/>
      <c r="I44" s="126"/>
      <c r="J44" s="115"/>
      <c r="K44" s="112"/>
      <c r="L44" s="118"/>
      <c r="M44" s="112"/>
      <c r="N44" s="112"/>
      <c r="O44" s="112"/>
      <c r="P44" s="112"/>
    </row>
    <row r="45" spans="1:20" ht="15" customHeight="1">
      <c r="A45" s="119"/>
      <c r="B45" s="462" t="s">
        <v>327</v>
      </c>
      <c r="C45" s="512">
        <f>'BW2-Field Act. Labor &amp; Mach.'!I37*4</f>
        <v>52.7684</v>
      </c>
      <c r="D45" s="520">
        <f>'BW2-Field Act. Labor &amp; Mach.'!K37*4</f>
        <v>40.728886581040129</v>
      </c>
      <c r="E45" s="520">
        <f>'BW2-Field Act. Labor &amp; Mach.'!L37*4</f>
        <v>52.41973239570433</v>
      </c>
      <c r="F45" s="526"/>
      <c r="G45" s="133"/>
      <c r="H45" s="133"/>
      <c r="I45" s="123"/>
      <c r="J45" s="110"/>
      <c r="K45" s="112"/>
      <c r="L45" s="118"/>
      <c r="M45" s="112"/>
      <c r="N45" s="112"/>
      <c r="O45" s="112"/>
      <c r="P45" s="112"/>
    </row>
    <row r="46" spans="1:20" ht="15" customHeight="1">
      <c r="A46" s="119"/>
      <c r="B46" s="419" t="s">
        <v>501</v>
      </c>
      <c r="C46" s="513"/>
      <c r="D46" s="521"/>
      <c r="E46" s="521"/>
      <c r="F46" s="527">
        <f>'BW3-Variable Input'!C55</f>
        <v>79.532288700479015</v>
      </c>
      <c r="G46" s="486"/>
      <c r="H46" s="541"/>
      <c r="I46" s="480"/>
      <c r="J46" s="480"/>
      <c r="K46" s="228"/>
      <c r="L46"/>
      <c r="M46"/>
      <c r="N46"/>
      <c r="O46"/>
      <c r="P46"/>
      <c r="Q46"/>
      <c r="R46"/>
      <c r="S46"/>
      <c r="T46"/>
    </row>
    <row r="47" spans="1:20" s="453" customFormat="1" ht="15" customHeight="1">
      <c r="A47" s="439"/>
      <c r="B47" s="824" t="s">
        <v>508</v>
      </c>
      <c r="C47" s="444">
        <f>SUM(C12:C14, C17:C25, C28:C31,C34:C46)</f>
        <v>1181.0661137261229</v>
      </c>
      <c r="D47" s="444">
        <f>SUM(D12:D14, D17:D25, D28:D31,D34:D46)</f>
        <v>192.86235049522651</v>
      </c>
      <c r="E47" s="444">
        <f>SUM(E12:E14, E17:E25, E28:E31,E34:E46)</f>
        <v>433.2555055524121</v>
      </c>
      <c r="F47" s="444">
        <f>SUM(F12:F14, F17:F25, F28:F31,F34:F46)</f>
        <v>927.57499582758669</v>
      </c>
      <c r="G47" s="445" t="s">
        <v>4</v>
      </c>
      <c r="H47" s="446">
        <f>SUM(C47:F47)</f>
        <v>2734.7589656013483</v>
      </c>
      <c r="I47" s="117"/>
      <c r="K47" s="476"/>
      <c r="L47" s="476"/>
      <c r="M47" s="477"/>
      <c r="N47" s="477"/>
      <c r="O47" s="477"/>
      <c r="P47" s="477"/>
      <c r="Q47" s="475"/>
    </row>
    <row r="48" spans="1:20" s="120" customFormat="1" ht="15" customHeight="1">
      <c r="B48" s="593"/>
      <c r="C48" s="133"/>
      <c r="D48" s="133"/>
      <c r="E48" s="133"/>
      <c r="F48" s="133"/>
      <c r="G48" s="924"/>
      <c r="H48" s="265"/>
    </row>
    <row r="49" spans="1:17" s="119" customFormat="1" ht="15" customHeight="1">
      <c r="B49" s="116" t="s">
        <v>914</v>
      </c>
      <c r="C49" s="133"/>
      <c r="D49" s="133"/>
      <c r="E49" s="133"/>
      <c r="F49" s="133"/>
      <c r="G49" s="924"/>
      <c r="H49" s="265"/>
      <c r="I49" s="120"/>
    </row>
    <row r="50" spans="1:17" ht="15" customHeight="1">
      <c r="A50" s="440"/>
      <c r="B50" s="921" t="s">
        <v>3</v>
      </c>
      <c r="C50" s="515"/>
      <c r="D50" s="438"/>
      <c r="E50" s="438"/>
      <c r="F50" s="529"/>
      <c r="G50" s="491"/>
      <c r="H50" s="491"/>
      <c r="I50" s="415"/>
      <c r="K50" s="112"/>
      <c r="L50" s="112"/>
      <c r="M50" s="113"/>
      <c r="N50" s="113"/>
      <c r="O50" s="113"/>
      <c r="P50" s="113"/>
      <c r="Q50" s="109"/>
    </row>
    <row r="51" spans="1:17" ht="15" customHeight="1">
      <c r="A51" s="440"/>
      <c r="B51" s="132" t="s">
        <v>304</v>
      </c>
      <c r="C51" s="512">
        <f>'BW6-Harvest and Wash-Pack'!D12+'BW2-Field Act. Labor &amp; Mach.'!I55</f>
        <v>356.18670000000003</v>
      </c>
      <c r="D51" s="520">
        <f>'BW2-Field Act. Labor &amp; Mach.'!K55</f>
        <v>14.792442634536425</v>
      </c>
      <c r="E51" s="520">
        <f>'BW2-Field Act. Labor &amp; Mach.'!L55</f>
        <v>14.444040020263422</v>
      </c>
      <c r="F51" s="526"/>
      <c r="G51" s="1029" t="s">
        <v>852</v>
      </c>
      <c r="H51" s="265"/>
      <c r="I51" s="415"/>
      <c r="K51" s="118"/>
      <c r="L51" s="112"/>
      <c r="M51" s="113"/>
      <c r="N51" s="113"/>
      <c r="O51" s="113"/>
      <c r="P51" s="113"/>
      <c r="Q51" s="109"/>
    </row>
    <row r="52" spans="1:17" ht="15" customHeight="1">
      <c r="A52" s="440"/>
      <c r="B52" s="416" t="s">
        <v>349</v>
      </c>
      <c r="C52" s="513">
        <f>'BW6-Harvest and Wash-Pack'!F12</f>
        <v>263.84199999999998</v>
      </c>
      <c r="D52" s="521"/>
      <c r="E52" s="521"/>
      <c r="F52" s="527"/>
      <c r="G52" s="1030" t="s">
        <v>852</v>
      </c>
      <c r="H52" s="492"/>
      <c r="I52" s="415"/>
      <c r="K52" s="118"/>
      <c r="L52" s="112"/>
      <c r="M52" s="113"/>
      <c r="N52" s="113"/>
      <c r="O52" s="113"/>
      <c r="P52" s="113"/>
      <c r="Q52" s="109"/>
    </row>
    <row r="53" spans="1:17" s="453" customFormat="1" ht="15" customHeight="1">
      <c r="A53" s="439"/>
      <c r="B53" s="824" t="s">
        <v>508</v>
      </c>
      <c r="C53" s="444">
        <f>SUM(C51:C52)</f>
        <v>620.02870000000007</v>
      </c>
      <c r="D53" s="444">
        <f>SUM(D51:D52)</f>
        <v>14.792442634536425</v>
      </c>
      <c r="E53" s="444">
        <f>SUM(E51:E52)</f>
        <v>14.444040020263422</v>
      </c>
      <c r="F53" s="444">
        <f>SUM(F51:F52)</f>
        <v>0</v>
      </c>
      <c r="G53" s="445" t="s">
        <v>4</v>
      </c>
      <c r="H53" s="446">
        <f>SUM(C53:F53)</f>
        <v>649.2651826547999</v>
      </c>
      <c r="I53" s="117"/>
      <c r="K53" s="476"/>
      <c r="L53" s="476"/>
      <c r="M53" s="477"/>
      <c r="N53" s="477"/>
      <c r="O53" s="477"/>
      <c r="P53" s="477"/>
      <c r="Q53" s="475"/>
    </row>
    <row r="54" spans="1:17" s="120" customFormat="1" ht="15" customHeight="1">
      <c r="B54" s="593"/>
      <c r="C54" s="133"/>
      <c r="D54" s="133"/>
      <c r="E54" s="133"/>
      <c r="F54" s="133"/>
      <c r="G54" s="133"/>
      <c r="H54" s="924"/>
    </row>
    <row r="55" spans="1:17" s="119" customFormat="1" ht="15" customHeight="1">
      <c r="B55" s="116" t="s">
        <v>662</v>
      </c>
      <c r="C55" s="133"/>
      <c r="D55" s="133"/>
      <c r="E55" s="133"/>
      <c r="F55" s="133"/>
      <c r="G55" s="229"/>
      <c r="H55" s="924"/>
      <c r="I55" s="120"/>
    </row>
    <row r="56" spans="1:17" ht="15" customHeight="1">
      <c r="A56" s="440"/>
      <c r="B56" s="921" t="s">
        <v>663</v>
      </c>
      <c r="C56" s="515"/>
      <c r="D56" s="438"/>
      <c r="E56" s="438"/>
      <c r="F56" s="529"/>
      <c r="G56" s="494"/>
      <c r="H56" s="494"/>
      <c r="I56" s="400"/>
      <c r="K56" s="112"/>
      <c r="L56" s="112"/>
      <c r="M56" s="113"/>
      <c r="N56" s="113"/>
      <c r="O56" s="113"/>
      <c r="P56" s="113"/>
      <c r="Q56" s="109"/>
    </row>
    <row r="57" spans="1:17" ht="15" customHeight="1">
      <c r="A57" s="440"/>
      <c r="B57" s="132" t="s">
        <v>42</v>
      </c>
      <c r="C57" s="512">
        <f>'BW2-Field Act. Labor &amp; Mach.'!$I$62</f>
        <v>10.55368</v>
      </c>
      <c r="D57" s="520">
        <f>'BW2-Field Act. Labor &amp; Mach.'!K62</f>
        <v>8.1859214566429603</v>
      </c>
      <c r="E57" s="520">
        <f>'BW2-Field Act. Labor &amp; Mach.'!L62</f>
        <v>7.508305016148265</v>
      </c>
      <c r="F57" s="526"/>
      <c r="G57" s="463"/>
      <c r="H57" s="463"/>
      <c r="I57" s="400"/>
      <c r="K57" s="112"/>
      <c r="L57" s="112"/>
      <c r="M57" s="113"/>
      <c r="N57" s="113"/>
      <c r="O57" s="113"/>
      <c r="P57" s="113"/>
      <c r="Q57" s="109"/>
    </row>
    <row r="58" spans="1:17" ht="15" customHeight="1">
      <c r="A58" s="440"/>
      <c r="B58" s="462" t="s">
        <v>43</v>
      </c>
      <c r="C58" s="512">
        <f>'BW2-Field Act. Labor &amp; Mach.'!$I$66</f>
        <v>5.27684</v>
      </c>
      <c r="D58" s="520">
        <f>'BW2-Field Act. Labor &amp; Mach.'!K66</f>
        <v>4.7393418269465482</v>
      </c>
      <c r="E58" s="520">
        <f>'BW2-Field Act. Labor &amp; Mach.'!L66</f>
        <v>4.8215303303156709</v>
      </c>
      <c r="F58" s="526"/>
      <c r="G58" s="463"/>
      <c r="H58" s="463"/>
      <c r="I58" s="400"/>
      <c r="K58" s="118"/>
      <c r="L58" s="112"/>
      <c r="M58" s="113"/>
      <c r="N58" s="113"/>
      <c r="O58" s="113"/>
      <c r="P58" s="113"/>
      <c r="Q58" s="109"/>
    </row>
    <row r="59" spans="1:17" ht="15" customHeight="1">
      <c r="A59" s="440"/>
      <c r="B59" s="132" t="s">
        <v>150</v>
      </c>
      <c r="C59" s="512">
        <f>'BW2-Field Act. Labor &amp; Mach.'!$I$65</f>
        <v>42.21472</v>
      </c>
      <c r="D59" s="520">
        <f>'BW2-Field Act. Labor &amp; Mach.'!K65</f>
        <v>3.4075700159999998</v>
      </c>
      <c r="E59" s="520">
        <f>'BW2-Field Act. Labor &amp; Mach.'!L65</f>
        <v>2.89283314099518</v>
      </c>
      <c r="F59" s="526"/>
      <c r="G59" s="463"/>
      <c r="H59" s="463"/>
      <c r="I59" s="115"/>
      <c r="K59" s="118"/>
      <c r="L59" s="112"/>
      <c r="M59" s="113"/>
      <c r="N59" s="113"/>
      <c r="O59" s="113"/>
      <c r="P59" s="113"/>
      <c r="Q59" s="109"/>
    </row>
    <row r="60" spans="1:17" ht="15" customHeight="1">
      <c r="A60" s="440"/>
      <c r="B60" s="462" t="s">
        <v>44</v>
      </c>
      <c r="C60" s="512">
        <f>'BW2-Field Act. Labor &amp; Mach.'!$I$67</f>
        <v>5.27684</v>
      </c>
      <c r="D60" s="520">
        <f>'BW2-Field Act. Labor &amp; Mach.'!K67</f>
        <v>4.5754035882945541</v>
      </c>
      <c r="E60" s="520">
        <f>'BW2-Field Act. Labor &amp; Mach.'!L67</f>
        <v>8.7882358546602415</v>
      </c>
      <c r="F60" s="526"/>
      <c r="G60" s="463"/>
      <c r="H60" s="463"/>
      <c r="I60" s="400"/>
      <c r="K60" s="112"/>
      <c r="L60" s="112"/>
      <c r="M60" s="113"/>
      <c r="N60" s="113"/>
      <c r="O60" s="113"/>
      <c r="P60" s="113"/>
      <c r="Q60" s="109"/>
    </row>
    <row r="61" spans="1:17" ht="15" customHeight="1">
      <c r="A61" s="440"/>
      <c r="B61" s="462" t="s">
        <v>45</v>
      </c>
      <c r="C61" s="512">
        <f>'BW2-Field Act. Labor &amp; Mach.'!$I$69</f>
        <v>14.511310000000002</v>
      </c>
      <c r="D61" s="520">
        <f>'BW2-Field Act. Labor &amp; Mach.'!K69</f>
        <v>5.9046727740142977</v>
      </c>
      <c r="E61" s="520">
        <f>'BW2-Field Act. Labor &amp; Mach.'!L69</f>
        <v>8.041581086300118</v>
      </c>
      <c r="F61" s="526"/>
      <c r="G61" s="463"/>
      <c r="H61" s="463"/>
      <c r="I61" s="400"/>
      <c r="K61" s="112"/>
      <c r="L61" s="112"/>
      <c r="M61" s="113"/>
      <c r="N61" s="113"/>
      <c r="O61" s="113"/>
      <c r="P61" s="113"/>
      <c r="Q61" s="109"/>
    </row>
    <row r="62" spans="1:17" ht="15" customHeight="1">
      <c r="A62" s="440"/>
      <c r="B62" s="500" t="str">
        <f>'BW3-Variable Input'!$B$33</f>
        <v>Winter cover crop seed</v>
      </c>
      <c r="C62" s="513"/>
      <c r="D62" s="521"/>
      <c r="E62" s="521"/>
      <c r="F62" s="527">
        <f>'BW3-Variable Input'!$C$33</f>
        <v>31.793452380952385</v>
      </c>
      <c r="G62" s="485"/>
      <c r="H62" s="485"/>
      <c r="I62" s="115"/>
      <c r="K62" s="118"/>
      <c r="L62" s="112"/>
      <c r="M62" s="113"/>
      <c r="N62" s="113"/>
      <c r="O62" s="113"/>
      <c r="P62" s="113"/>
      <c r="Q62" s="109"/>
    </row>
    <row r="63" spans="1:17" s="453" customFormat="1" ht="15" customHeight="1">
      <c r="A63" s="439"/>
      <c r="B63" s="824" t="s">
        <v>508</v>
      </c>
      <c r="C63" s="444">
        <f>SUM(C57:C62)</f>
        <v>77.833390000000009</v>
      </c>
      <c r="D63" s="444">
        <f>SUM(D57:D62)</f>
        <v>26.812909661898363</v>
      </c>
      <c r="E63" s="444">
        <f>SUM(E57:E62)</f>
        <v>32.052485428419473</v>
      </c>
      <c r="F63" s="444">
        <f>SUM(F57:F62)</f>
        <v>31.793452380952385</v>
      </c>
      <c r="G63" s="447" t="s">
        <v>4</v>
      </c>
      <c r="H63" s="446">
        <f>SUM(C63:F63)</f>
        <v>168.49223747127022</v>
      </c>
      <c r="I63" s="117"/>
      <c r="K63" s="476"/>
      <c r="L63" s="476"/>
      <c r="M63" s="478"/>
      <c r="N63" s="478"/>
      <c r="O63" s="478"/>
      <c r="P63" s="478"/>
      <c r="Q63" s="475"/>
    </row>
    <row r="64" spans="1:17" s="120" customFormat="1" ht="15" customHeight="1">
      <c r="A64" s="415"/>
      <c r="B64" s="593"/>
      <c r="C64" s="403"/>
      <c r="D64" s="403"/>
      <c r="E64" s="403"/>
      <c r="F64" s="403"/>
      <c r="G64" s="435"/>
      <c r="H64" s="435"/>
      <c r="I64" s="115"/>
      <c r="K64" s="825"/>
      <c r="L64" s="127"/>
      <c r="M64" s="113"/>
      <c r="N64" s="113"/>
      <c r="O64" s="113"/>
      <c r="P64" s="113"/>
    </row>
    <row r="65" spans="1:17" s="453" customFormat="1" ht="15" customHeight="1">
      <c r="A65" s="439"/>
      <c r="B65" s="116" t="s">
        <v>515</v>
      </c>
      <c r="C65" s="444">
        <f>C47+C53+C63</f>
        <v>1878.928203726123</v>
      </c>
      <c r="D65" s="444">
        <f>D47+D53+D63</f>
        <v>234.46770279166131</v>
      </c>
      <c r="E65" s="444">
        <f>E47+E53+E63</f>
        <v>479.75203100109496</v>
      </c>
      <c r="F65" s="444">
        <f>F47+F53+F63</f>
        <v>959.36844820853912</v>
      </c>
      <c r="G65" s="447" t="s">
        <v>4</v>
      </c>
      <c r="H65" s="446">
        <f>SUM(C65:F65)</f>
        <v>3552.5163857274183</v>
      </c>
      <c r="I65" s="117"/>
      <c r="K65" s="476"/>
      <c r="L65" s="476"/>
      <c r="M65" s="478"/>
      <c r="N65" s="478"/>
      <c r="O65" s="478"/>
      <c r="P65" s="478"/>
      <c r="Q65" s="475"/>
    </row>
    <row r="66" spans="1:17" ht="15" customHeight="1">
      <c r="A66" s="440"/>
      <c r="B66" s="114"/>
      <c r="C66" s="451"/>
      <c r="D66" s="451"/>
      <c r="E66" s="451"/>
      <c r="F66" s="451"/>
      <c r="G66" s="555"/>
      <c r="H66" s="555"/>
      <c r="I66" s="400"/>
      <c r="K66" s="112"/>
      <c r="L66" s="112"/>
      <c r="M66" s="113"/>
      <c r="N66" s="113"/>
      <c r="O66" s="113"/>
      <c r="P66" s="113"/>
      <c r="Q66" s="109"/>
    </row>
    <row r="67" spans="1:17">
      <c r="B67" s="1032"/>
      <c r="C67" s="1033"/>
      <c r="D67" s="1033"/>
      <c r="E67" s="1033"/>
      <c r="F67" s="1033"/>
      <c r="G67" s="1033"/>
      <c r="H67" s="1033"/>
    </row>
    <row r="69" spans="1:17">
      <c r="B69" s="116" t="s">
        <v>664</v>
      </c>
    </row>
    <row r="70" spans="1:17">
      <c r="B70" s="830" t="s">
        <v>668</v>
      </c>
      <c r="C70" s="556"/>
      <c r="D70" s="556"/>
      <c r="E70" s="556"/>
      <c r="F70" s="556"/>
      <c r="G70" s="556"/>
      <c r="H70" s="844">
        <f>C47+C63</f>
        <v>1258.8995037261229</v>
      </c>
    </row>
    <row r="71" spans="1:17">
      <c r="B71" s="5" t="s">
        <v>667</v>
      </c>
      <c r="C71" s="556"/>
      <c r="D71" s="556"/>
      <c r="E71" s="556"/>
      <c r="F71" s="556"/>
      <c r="G71" s="556"/>
      <c r="H71" s="844">
        <f>D47+D63</f>
        <v>219.67526015712488</v>
      </c>
    </row>
    <row r="72" spans="1:17">
      <c r="B72" s="830" t="s">
        <v>669</v>
      </c>
      <c r="C72" s="552"/>
      <c r="D72" s="448"/>
      <c r="E72" s="448"/>
      <c r="F72" s="448"/>
      <c r="G72" s="552"/>
      <c r="H72" s="765">
        <f>F47+F63</f>
        <v>959.36844820853912</v>
      </c>
      <c r="I72" s="110"/>
      <c r="L72" s="109"/>
      <c r="M72" s="109"/>
      <c r="N72" s="109"/>
      <c r="O72" s="109"/>
      <c r="P72" s="109"/>
    </row>
    <row r="73" spans="1:17">
      <c r="B73" s="831" t="s">
        <v>666</v>
      </c>
      <c r="C73" s="552"/>
      <c r="D73" s="448"/>
      <c r="E73" s="448"/>
      <c r="F73" s="448"/>
      <c r="G73" s="448"/>
      <c r="H73" s="847">
        <f>SUM(H70:H72)</f>
        <v>2437.9432120917872</v>
      </c>
      <c r="I73" s="109"/>
      <c r="J73" s="110"/>
      <c r="M73" s="109"/>
      <c r="N73" s="109"/>
      <c r="O73" s="109"/>
      <c r="P73" s="109"/>
      <c r="Q73" s="109"/>
    </row>
    <row r="74" spans="1:17">
      <c r="B74" s="830" t="s">
        <v>680</v>
      </c>
      <c r="C74" s="552"/>
      <c r="D74" s="552"/>
      <c r="E74" s="552"/>
      <c r="F74" s="552"/>
      <c r="G74" s="552"/>
      <c r="H74" s="765">
        <f>C53</f>
        <v>620.02870000000007</v>
      </c>
      <c r="I74" s="109"/>
      <c r="J74" s="109"/>
    </row>
    <row r="75" spans="1:17">
      <c r="B75" s="830" t="s">
        <v>445</v>
      </c>
      <c r="C75" s="556"/>
      <c r="D75" s="556"/>
      <c r="E75" s="556"/>
      <c r="F75" s="556"/>
      <c r="G75" s="556"/>
      <c r="H75" s="844">
        <f>D53</f>
        <v>14.792442634536425</v>
      </c>
    </row>
    <row r="76" spans="1:17">
      <c r="B76" s="830" t="s">
        <v>670</v>
      </c>
      <c r="C76" s="556"/>
      <c r="D76" s="556"/>
      <c r="E76" s="556"/>
      <c r="F76" s="556"/>
      <c r="G76" s="556"/>
      <c r="H76" s="844">
        <f>F53</f>
        <v>0</v>
      </c>
    </row>
    <row r="77" spans="1:17">
      <c r="B77" s="831" t="s">
        <v>671</v>
      </c>
      <c r="C77" s="43"/>
      <c r="D77" s="43"/>
      <c r="E77" s="832"/>
      <c r="F77" s="43"/>
      <c r="G77" s="43"/>
      <c r="H77" s="598">
        <f>SUM(H74:H76)</f>
        <v>634.8211426345365</v>
      </c>
    </row>
    <row r="78" spans="1:17">
      <c r="B78" s="833" t="s">
        <v>513</v>
      </c>
      <c r="C78" s="834"/>
      <c r="D78" s="834"/>
      <c r="E78" s="835"/>
      <c r="F78" s="836"/>
      <c r="G78" s="834"/>
      <c r="H78" s="818">
        <f>H73+H77</f>
        <v>3072.7643547263237</v>
      </c>
    </row>
    <row r="79" spans="1:17">
      <c r="B79" s="830" t="s">
        <v>672</v>
      </c>
      <c r="C79" s="5"/>
      <c r="D79" s="5"/>
      <c r="E79" s="23"/>
      <c r="F79" s="5"/>
      <c r="G79" s="5"/>
      <c r="H79" s="25">
        <f>E47+E63</f>
        <v>465.30799098083156</v>
      </c>
    </row>
    <row r="80" spans="1:17">
      <c r="B80" s="830" t="s">
        <v>673</v>
      </c>
      <c r="C80" s="5"/>
      <c r="D80" s="5"/>
      <c r="E80" s="23"/>
      <c r="F80" s="5"/>
      <c r="G80" s="5"/>
      <c r="H80" s="49">
        <f>E53</f>
        <v>14.444040020263422</v>
      </c>
    </row>
    <row r="81" spans="2:8">
      <c r="B81" s="837" t="s">
        <v>514</v>
      </c>
      <c r="C81" s="834"/>
      <c r="D81" s="834"/>
      <c r="E81" s="835"/>
      <c r="F81" s="836"/>
      <c r="G81" s="834"/>
      <c r="H81" s="819">
        <f>H79+H80</f>
        <v>479.75203100109496</v>
      </c>
    </row>
    <row r="82" spans="2:8">
      <c r="B82" s="556"/>
      <c r="C82" s="556"/>
      <c r="D82" s="556"/>
      <c r="E82" s="556"/>
      <c r="F82" s="556"/>
      <c r="G82" s="556"/>
      <c r="H82" s="556"/>
    </row>
  </sheetData>
  <sheetProtection sheet="1" objects="1" scenarios="1"/>
  <mergeCells count="3">
    <mergeCell ref="E5:H6"/>
    <mergeCell ref="G1:H1"/>
    <mergeCell ref="G11:H14"/>
  </mergeCells>
  <phoneticPr fontId="15" type="noConversion"/>
  <hyperlinks>
    <hyperlink ref="H1" location="'Workbook Index'!A1" display="'Workbook Index'!A1"/>
    <hyperlink ref="G1" location="'Workbook Index'!A1" display="Back to Workbook Index"/>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T77"/>
  <sheetViews>
    <sheetView showGridLines="0" view="pageLayout" topLeftCell="A30" workbookViewId="0">
      <selection activeCell="B44" sqref="B44"/>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14.7109375" style="108" customWidth="1"/>
    <col min="11" max="11" width="8.42578125" style="108" customWidth="1"/>
    <col min="12" max="12" width="6.85546875" style="108" customWidth="1"/>
    <col min="13" max="13" width="14.42578125" style="108" customWidth="1"/>
    <col min="14" max="15" width="8.7109375" style="108"/>
    <col min="16" max="16" width="12.42578125" style="108" customWidth="1"/>
    <col min="17" max="19" width="8.7109375" style="108"/>
    <col min="20" max="20" width="11.5703125" style="108" customWidth="1"/>
    <col min="21" max="16384" width="8.7109375" style="108"/>
  </cols>
  <sheetData>
    <row r="1" spans="2:20" ht="16" thickBot="1">
      <c r="F1" s="563"/>
      <c r="G1" s="1263" t="s">
        <v>512</v>
      </c>
      <c r="H1" s="1264"/>
    </row>
    <row r="2" spans="2:20" ht="25" customHeight="1">
      <c r="B2" s="1024" t="str">
        <f>'Workbook Index'!B31</f>
        <v>Carrots</v>
      </c>
      <c r="C2" s="221"/>
      <c r="D2" s="221"/>
      <c r="E2" s="221"/>
      <c r="I2" s="564"/>
      <c r="J2" s="120"/>
      <c r="K2" s="120"/>
      <c r="L2" s="120"/>
      <c r="M2" s="120"/>
      <c r="N2" s="109"/>
      <c r="O2" s="109"/>
    </row>
    <row r="3" spans="2:20" ht="33.5" customHeight="1">
      <c r="B3" s="1027" t="s">
        <v>716</v>
      </c>
      <c r="C3" s="132" t="s">
        <v>367</v>
      </c>
      <c r="D3" s="916"/>
      <c r="E3" s="917" t="s">
        <v>14</v>
      </c>
      <c r="F3" s="135"/>
      <c r="G3" s="135"/>
      <c r="H3" s="135"/>
      <c r="I3" s="130"/>
      <c r="J3" s="226"/>
      <c r="K3" s="226"/>
      <c r="L3" s="226"/>
      <c r="M3" s="120"/>
      <c r="N3" s="117"/>
      <c r="O3" s="129"/>
      <c r="P3" s="112"/>
      <c r="Q3" s="112"/>
      <c r="R3" s="112"/>
      <c r="S3" s="112"/>
      <c r="T3" s="112"/>
    </row>
    <row r="4" spans="2:20">
      <c r="B4" s="918"/>
      <c r="C4" s="132" t="s">
        <v>47</v>
      </c>
      <c r="D4" s="916"/>
      <c r="E4" s="1067">
        <f>'BW1-Bed and Row Spacing'!J13</f>
        <v>6701.5384615384619</v>
      </c>
      <c r="F4" s="135"/>
      <c r="G4" s="135"/>
      <c r="H4" s="135"/>
      <c r="I4" s="130"/>
      <c r="J4" s="226"/>
      <c r="K4" s="226"/>
      <c r="L4" s="226"/>
      <c r="M4" s="120"/>
      <c r="N4" s="110"/>
      <c r="O4" s="111"/>
      <c r="P4" s="112"/>
      <c r="Q4" s="112"/>
      <c r="R4" s="112"/>
      <c r="S4" s="112"/>
      <c r="T4" s="112"/>
    </row>
    <row r="5" spans="2:20">
      <c r="B5" s="915"/>
      <c r="C5" s="132" t="s">
        <v>366</v>
      </c>
      <c r="D5" s="916"/>
      <c r="E5" s="1338" t="s">
        <v>821</v>
      </c>
      <c r="F5" s="1338"/>
      <c r="G5" s="1338"/>
      <c r="H5" s="1338"/>
      <c r="I5" s="224"/>
      <c r="J5" s="225"/>
      <c r="K5" s="225"/>
      <c r="L5" s="225"/>
      <c r="M5" s="127"/>
      <c r="N5" s="110"/>
      <c r="O5" s="111"/>
      <c r="P5" s="112"/>
      <c r="Q5" s="112"/>
      <c r="R5" s="112"/>
      <c r="S5" s="112"/>
      <c r="T5" s="112"/>
    </row>
    <row r="6" spans="2:20">
      <c r="B6" s="223"/>
      <c r="C6" s="915"/>
      <c r="D6" s="916"/>
      <c r="E6" s="1338"/>
      <c r="F6" s="1338"/>
      <c r="G6" s="1338"/>
      <c r="H6" s="1338"/>
      <c r="I6" s="225"/>
      <c r="J6" s="225"/>
      <c r="K6" s="225"/>
      <c r="L6" s="225"/>
      <c r="M6" s="121"/>
      <c r="N6" s="112"/>
      <c r="O6" s="112"/>
      <c r="P6" s="112"/>
      <c r="Q6" s="112"/>
    </row>
    <row r="7" spans="2:20">
      <c r="B7" s="1032"/>
      <c r="C7" s="1033"/>
      <c r="D7" s="1033"/>
      <c r="E7" s="1033"/>
      <c r="F7" s="1033"/>
      <c r="G7" s="1033"/>
      <c r="H7" s="1033"/>
    </row>
    <row r="8" spans="2:20">
      <c r="B8" s="553" t="s">
        <v>517</v>
      </c>
      <c r="C8" s="492"/>
      <c r="D8" s="492"/>
      <c r="E8" s="492"/>
      <c r="F8" s="492"/>
      <c r="G8" s="492"/>
      <c r="H8" s="492"/>
      <c r="I8" s="109"/>
    </row>
    <row r="9" spans="2:20" customFormat="1" ht="33" customHeight="1">
      <c r="B9" s="420" t="s">
        <v>711</v>
      </c>
      <c r="C9" s="421" t="s">
        <v>707</v>
      </c>
      <c r="D9" s="421" t="s">
        <v>708</v>
      </c>
      <c r="E9" s="421" t="s">
        <v>709</v>
      </c>
      <c r="F9" s="421" t="s">
        <v>710</v>
      </c>
      <c r="G9" s="919"/>
      <c r="H9" s="920"/>
      <c r="M9" s="112"/>
      <c r="N9" s="112"/>
      <c r="O9" s="112"/>
      <c r="P9" s="6"/>
      <c r="Q9" s="6"/>
    </row>
    <row r="10" spans="2:20" customFormat="1" ht="30">
      <c r="B10" s="993" t="s">
        <v>516</v>
      </c>
      <c r="C10" s="991" t="s">
        <v>849</v>
      </c>
      <c r="D10" s="991" t="s">
        <v>849</v>
      </c>
      <c r="E10" s="991" t="s">
        <v>849</v>
      </c>
      <c r="F10" s="991" t="s">
        <v>850</v>
      </c>
      <c r="G10" s="992"/>
      <c r="H10" s="462"/>
      <c r="M10" s="112"/>
      <c r="N10" s="112"/>
      <c r="O10" s="6"/>
      <c r="P10" s="6"/>
    </row>
    <row r="11" spans="2:20">
      <c r="B11" s="921" t="s">
        <v>298</v>
      </c>
      <c r="C11" s="999"/>
      <c r="D11" s="1000"/>
      <c r="E11" s="1000"/>
      <c r="F11" s="1001"/>
      <c r="G11" s="1335" t="s">
        <v>705</v>
      </c>
      <c r="H11" s="1335"/>
      <c r="I11" s="460"/>
      <c r="J11" s="121"/>
      <c r="O11" s="112"/>
      <c r="P11" s="112"/>
      <c r="Q11" s="112"/>
    </row>
    <row r="12" spans="2:20">
      <c r="B12" s="265" t="s">
        <v>145</v>
      </c>
      <c r="C12" s="512">
        <f>('BW2-Field Act. Labor &amp; Mach.'!$I$9)/2</f>
        <v>4.617235</v>
      </c>
      <c r="D12" s="520">
        <f>('BW2-Field Act. Labor &amp; Mach.'!K9)/2</f>
        <v>3.5813406372812948</v>
      </c>
      <c r="E12" s="520">
        <f>('BW2-Field Act. Labor &amp; Mach.'!L9)/2</f>
        <v>3.2848834445648656</v>
      </c>
      <c r="F12" s="526"/>
      <c r="G12" s="1336"/>
      <c r="H12" s="1336"/>
      <c r="I12" s="460"/>
      <c r="J12" s="121"/>
      <c r="K12" s="110"/>
      <c r="L12" s="121"/>
      <c r="M12" s="121"/>
      <c r="N12" s="112"/>
      <c r="O12" s="112"/>
      <c r="P12" s="112"/>
      <c r="Q12" s="112"/>
    </row>
    <row r="13" spans="2:20">
      <c r="B13" s="462" t="s">
        <v>45</v>
      </c>
      <c r="C13" s="512">
        <f>('BW2-Field Act. Labor &amp; Mach.'!$I$69)/2</f>
        <v>7.2556550000000009</v>
      </c>
      <c r="D13" s="520">
        <f>('BW2-Field Act. Labor &amp; Mach.'!K69)/2</f>
        <v>2.9523363870071488</v>
      </c>
      <c r="E13" s="520">
        <f>('BW2-Field Act. Labor &amp; Mach.'!L69)/2</f>
        <v>4.020790543150059</v>
      </c>
      <c r="F13" s="526"/>
      <c r="G13" s="1336"/>
      <c r="H13" s="1336"/>
      <c r="I13" s="460"/>
      <c r="J13" s="121"/>
      <c r="K13" s="110"/>
      <c r="L13" s="121"/>
      <c r="M13" s="121"/>
      <c r="N13" s="112"/>
      <c r="O13" s="112"/>
      <c r="P13" s="112"/>
      <c r="Q13" s="112"/>
    </row>
    <row r="14" spans="2:20">
      <c r="B14" s="500" t="str">
        <f>'BW3-Variable Input'!$B$34</f>
        <v>Summer cover crop seed</v>
      </c>
      <c r="C14" s="513"/>
      <c r="D14" s="521"/>
      <c r="E14" s="521"/>
      <c r="F14" s="527">
        <f>('BW3-Variable Input'!$C$34)/2</f>
        <v>16.173333333333336</v>
      </c>
      <c r="G14" s="1337"/>
      <c r="H14" s="1337"/>
      <c r="I14" s="460"/>
      <c r="J14" s="121"/>
      <c r="K14" s="110"/>
      <c r="L14" s="121"/>
      <c r="M14" s="121"/>
      <c r="N14" s="112"/>
      <c r="O14" s="112"/>
      <c r="P14" s="112"/>
      <c r="Q14" s="112"/>
    </row>
    <row r="15" spans="2:20">
      <c r="B15" s="264"/>
      <c r="C15" s="456"/>
      <c r="D15" s="456"/>
      <c r="E15" s="456"/>
      <c r="F15" s="456"/>
      <c r="G15" s="455"/>
      <c r="H15" s="464"/>
      <c r="I15" s="460"/>
      <c r="J15" s="121"/>
      <c r="K15" s="110"/>
      <c r="L15" s="121"/>
      <c r="M15" s="121"/>
      <c r="N15" s="112"/>
      <c r="O15" s="112"/>
      <c r="P15" s="112"/>
      <c r="Q15" s="112"/>
    </row>
    <row r="16" spans="2:20" ht="16" customHeight="1">
      <c r="B16" s="922" t="s">
        <v>181</v>
      </c>
      <c r="C16" s="514"/>
      <c r="D16" s="522"/>
      <c r="E16" s="522"/>
      <c r="F16" s="528"/>
      <c r="G16" s="509"/>
      <c r="H16" s="509"/>
      <c r="I16" s="460"/>
      <c r="J16" s="110"/>
      <c r="K16" s="122"/>
      <c r="L16" s="121"/>
      <c r="M16" s="121"/>
      <c r="N16" s="112"/>
      <c r="O16" s="112"/>
      <c r="P16" s="112"/>
    </row>
    <row r="17" spans="2:16" ht="15" customHeight="1">
      <c r="B17" s="265" t="s">
        <v>307</v>
      </c>
      <c r="C17" s="512">
        <f>'BW2-Field Act. Labor &amp; Mach.'!$I$9</f>
        <v>9.23447</v>
      </c>
      <c r="D17" s="520">
        <f>'BW2-Field Act. Labor &amp; Mach.'!K9</f>
        <v>7.1626812745625896</v>
      </c>
      <c r="E17" s="520">
        <f>'BW2-Field Act. Labor &amp; Mach.'!L9</f>
        <v>6.5697668891297312</v>
      </c>
      <c r="F17" s="526"/>
      <c r="G17" s="465"/>
      <c r="H17" s="465"/>
      <c r="I17" s="457"/>
      <c r="J17" s="5"/>
      <c r="K17" s="112"/>
      <c r="L17" s="118"/>
      <c r="M17" s="118"/>
      <c r="N17" s="112"/>
      <c r="O17" s="112"/>
      <c r="P17" s="112"/>
    </row>
    <row r="18" spans="2:16" ht="15" customHeight="1">
      <c r="B18" s="132" t="s">
        <v>46</v>
      </c>
      <c r="C18" s="512">
        <f>'BW2-Field Act. Labor &amp; Mach.'!$I$10</f>
        <v>11.87289</v>
      </c>
      <c r="D18" s="520">
        <f>'BW2-Field Act. Labor &amp; Mach.'!K10</f>
        <v>16.900081383311999</v>
      </c>
      <c r="E18" s="520">
        <f>'BW2-Field Act. Labor &amp; Mach.'!L10</f>
        <v>23.703168100043012</v>
      </c>
      <c r="F18" s="526"/>
      <c r="G18" s="133"/>
      <c r="H18" s="465"/>
      <c r="I18" s="457"/>
      <c r="J18" s="5"/>
      <c r="K18" s="112"/>
      <c r="L18" s="112"/>
      <c r="M18" s="112"/>
      <c r="N18" s="118"/>
      <c r="O18" s="112"/>
      <c r="P18" s="112"/>
    </row>
    <row r="19" spans="2:16" ht="15" customHeight="1">
      <c r="B19" s="151" t="s">
        <v>69</v>
      </c>
      <c r="C19" s="512"/>
      <c r="D19" s="520"/>
      <c r="E19" s="520"/>
      <c r="F19" s="526">
        <f>'BW3-Variable Input'!$C$9</f>
        <v>116.66666666666667</v>
      </c>
      <c r="G19" s="133"/>
      <c r="H19" s="465"/>
      <c r="I19" s="457"/>
      <c r="J19" s="5"/>
      <c r="K19" s="112"/>
      <c r="L19" s="112"/>
      <c r="M19" s="112"/>
      <c r="N19" s="118"/>
      <c r="O19" s="112"/>
      <c r="P19" s="112"/>
    </row>
    <row r="20" spans="2:16" ht="15" customHeight="1">
      <c r="B20" s="132" t="s">
        <v>11</v>
      </c>
      <c r="C20" s="512">
        <f>'BW2-Field Act. Labor &amp; Mach.'!I13</f>
        <v>22.426569999999998</v>
      </c>
      <c r="D20" s="520">
        <f>'BW2-Field Act. Labor &amp; Mach.'!K13</f>
        <v>17.993866831056</v>
      </c>
      <c r="E20" s="520">
        <f>'BW2-Field Act. Labor &amp; Mach.'!L13</f>
        <v>44.771770188886023</v>
      </c>
      <c r="F20" s="526"/>
      <c r="G20" s="133"/>
      <c r="H20" s="463"/>
      <c r="I20" s="457"/>
      <c r="J20" s="5"/>
      <c r="K20" s="112"/>
      <c r="L20" s="112"/>
      <c r="M20" s="112"/>
      <c r="N20" s="118"/>
      <c r="O20" s="112"/>
      <c r="P20" s="112"/>
    </row>
    <row r="21" spans="2:16" ht="15" customHeight="1">
      <c r="B21" s="132" t="s">
        <v>12</v>
      </c>
      <c r="C21" s="512"/>
      <c r="D21" s="520">
        <f>'BW2-Field Act. Labor &amp; Mach.'!K14</f>
        <v>9.2140341759999984</v>
      </c>
      <c r="E21" s="520">
        <f>'BW2-Field Act. Labor &amp; Mach.'!L14</f>
        <v>29.935417361494395</v>
      </c>
      <c r="F21" s="526"/>
      <c r="G21" s="133"/>
      <c r="H21" s="463"/>
      <c r="I21" s="457"/>
      <c r="J21" s="5"/>
      <c r="K21" s="112"/>
      <c r="L21" s="112"/>
      <c r="M21" s="112"/>
      <c r="N21" s="112"/>
      <c r="O21" s="112"/>
      <c r="P21" s="112"/>
    </row>
    <row r="22" spans="2:16" ht="15" customHeight="1">
      <c r="B22" s="132" t="s">
        <v>144</v>
      </c>
      <c r="C22" s="512">
        <f>'BW2-Field Act. Labor &amp; Mach.'!I15</f>
        <v>59.364449999999998</v>
      </c>
      <c r="D22" s="520">
        <f>'BW2-Field Act. Labor &amp; Mach.'!K15</f>
        <v>11.732543673988348</v>
      </c>
      <c r="E22" s="520">
        <f>'BW2-Field Act. Labor &amp; Mach.'!L15</f>
        <v>19.938595491388046</v>
      </c>
      <c r="F22" s="526"/>
      <c r="G22" s="265"/>
      <c r="H22" s="463"/>
      <c r="I22" s="457"/>
      <c r="J22" s="5"/>
      <c r="K22" s="112"/>
      <c r="L22" s="112"/>
      <c r="M22" s="112"/>
      <c r="N22" s="112"/>
      <c r="O22" s="112"/>
      <c r="P22" s="112"/>
    </row>
    <row r="23" spans="2:16" ht="15" customHeight="1">
      <c r="B23" s="151" t="s">
        <v>313</v>
      </c>
      <c r="C23" s="512"/>
      <c r="D23" s="520"/>
      <c r="E23" s="520"/>
      <c r="F23" s="526">
        <f>'BW3-Variable Input'!C23</f>
        <v>125.09538461538463</v>
      </c>
      <c r="G23" s="133"/>
      <c r="H23" s="463"/>
      <c r="I23" s="457"/>
      <c r="J23" s="5"/>
      <c r="K23" s="118"/>
      <c r="L23" s="118"/>
      <c r="M23" s="118"/>
      <c r="N23" s="112"/>
      <c r="O23" s="112"/>
      <c r="P23" s="112"/>
    </row>
    <row r="24" spans="2:16" ht="15" customHeight="1">
      <c r="B24" s="416" t="s">
        <v>192</v>
      </c>
      <c r="C24" s="513">
        <f>'BW2-Field Act. Labor &amp; Mach.'!I16*2</f>
        <v>21.10736</v>
      </c>
      <c r="D24" s="521">
        <f>'BW2-Field Act. Labor &amp; Mach.'!K16*2</f>
        <v>12.051200395575469</v>
      </c>
      <c r="E24" s="521">
        <f>'BW2-Field Act. Labor &amp; Mach.'!L16*2</f>
        <v>17.332156747393537</v>
      </c>
      <c r="F24" s="527"/>
      <c r="G24" s="486"/>
      <c r="H24" s="485"/>
      <c r="I24" s="457"/>
      <c r="J24" s="5"/>
      <c r="K24" s="112"/>
      <c r="L24" s="112"/>
      <c r="M24" s="112"/>
      <c r="N24" s="112"/>
      <c r="O24" s="112"/>
      <c r="P24" s="112"/>
    </row>
    <row r="25" spans="2:16" ht="15" customHeight="1">
      <c r="B25" s="132"/>
      <c r="C25" s="133"/>
      <c r="D25" s="133"/>
      <c r="E25" s="133"/>
      <c r="F25" s="133"/>
      <c r="G25" s="133"/>
      <c r="H25" s="466"/>
      <c r="I25" s="457"/>
      <c r="J25" s="5"/>
      <c r="K25" s="112"/>
      <c r="L25" s="112"/>
      <c r="M25" s="112"/>
      <c r="N25" s="112"/>
      <c r="O25" s="112"/>
      <c r="P25" s="112"/>
    </row>
    <row r="26" spans="2:16" ht="15" customHeight="1">
      <c r="B26" s="921" t="s">
        <v>10</v>
      </c>
      <c r="C26" s="515"/>
      <c r="D26" s="438"/>
      <c r="E26" s="438"/>
      <c r="F26" s="529"/>
      <c r="G26" s="422"/>
      <c r="H26" s="494"/>
      <c r="I26" s="457"/>
      <c r="J26" s="5"/>
      <c r="K26" s="112"/>
      <c r="L26" s="112"/>
      <c r="M26" s="112"/>
      <c r="N26" s="112"/>
      <c r="O26" s="112"/>
      <c r="P26" s="112"/>
    </row>
    <row r="27" spans="2:16" ht="15" customHeight="1">
      <c r="B27" s="132" t="str">
        <f>'BW2-Field Act. Labor &amp; Mach.'!B20</f>
        <v>Direct seed on bareground</v>
      </c>
      <c r="C27" s="516">
        <f>'BW2-Field Act. Labor &amp; Mach.'!I20</f>
        <v>52.7684</v>
      </c>
      <c r="D27" s="520">
        <f>'BW2-Field Act. Labor &amp; Mach.'!K20</f>
        <v>17.196459355934465</v>
      </c>
      <c r="E27" s="520">
        <f>'BW2-Field Act. Labor &amp; Mach.'!L20</f>
        <v>40.179586989352146</v>
      </c>
      <c r="F27" s="526"/>
      <c r="G27" s="265"/>
      <c r="H27" s="463"/>
      <c r="I27" s="457"/>
      <c r="J27" s="110"/>
      <c r="K27" s="112"/>
      <c r="L27" s="112"/>
      <c r="M27" s="112"/>
      <c r="N27" s="112"/>
      <c r="O27" s="112"/>
      <c r="P27" s="112"/>
    </row>
    <row r="28" spans="2:16" ht="15" customHeight="1">
      <c r="B28" s="151" t="s">
        <v>315</v>
      </c>
      <c r="C28" s="516"/>
      <c r="D28" s="520"/>
      <c r="E28" s="520"/>
      <c r="F28" s="526">
        <f>('BW3-Variable Input'!C10)</f>
        <v>124</v>
      </c>
      <c r="G28" s="133"/>
      <c r="H28" s="463"/>
      <c r="I28" s="457"/>
      <c r="J28" s="110"/>
      <c r="K28" s="112"/>
      <c r="L28" s="112"/>
      <c r="M28" s="112"/>
      <c r="N28" s="112"/>
      <c r="O28" s="112"/>
      <c r="P28" s="112"/>
    </row>
    <row r="29" spans="2:16" ht="15" customHeight="1">
      <c r="B29" s="418" t="s">
        <v>65</v>
      </c>
      <c r="C29" s="513"/>
      <c r="D29" s="521"/>
      <c r="E29" s="521"/>
      <c r="F29" s="527">
        <f>'BW3-Variable Input'!H163</f>
        <v>150.78461538461539</v>
      </c>
      <c r="G29" s="486"/>
      <c r="H29" s="485"/>
      <c r="I29" s="457"/>
      <c r="J29" s="110"/>
      <c r="K29" s="112"/>
      <c r="L29" s="112"/>
      <c r="M29" s="112"/>
      <c r="N29" s="112"/>
      <c r="O29" s="112"/>
      <c r="P29" s="112"/>
    </row>
    <row r="30" spans="2:16" ht="15" customHeight="1">
      <c r="B30" s="132"/>
      <c r="C30" s="133"/>
      <c r="D30" s="133"/>
      <c r="E30" s="133"/>
      <c r="F30" s="133"/>
      <c r="G30" s="133"/>
      <c r="H30" s="466"/>
      <c r="I30" s="457"/>
      <c r="J30" s="110"/>
      <c r="K30" s="112"/>
      <c r="L30" s="112"/>
      <c r="M30" s="112"/>
      <c r="N30" s="112"/>
      <c r="O30" s="112"/>
      <c r="P30" s="112"/>
    </row>
    <row r="31" spans="2:16" ht="15" customHeight="1">
      <c r="B31" s="921" t="s">
        <v>37</v>
      </c>
      <c r="C31" s="515"/>
      <c r="D31" s="438"/>
      <c r="E31" s="438"/>
      <c r="F31" s="529"/>
      <c r="G31" s="422"/>
      <c r="H31" s="494"/>
      <c r="I31" s="457"/>
      <c r="J31" s="110"/>
      <c r="K31" s="112"/>
      <c r="L31" s="112"/>
      <c r="M31" s="112"/>
      <c r="N31" s="112"/>
      <c r="O31" s="112"/>
      <c r="P31" s="112"/>
    </row>
    <row r="32" spans="2:16" ht="15" customHeight="1">
      <c r="B32" s="462" t="s">
        <v>179</v>
      </c>
      <c r="C32" s="512">
        <f>'BW2-Field Act. Labor &amp; Mach.'!$I$31*2</f>
        <v>10.55368</v>
      </c>
      <c r="D32" s="520">
        <f>'BW2-Field Act. Labor &amp; Mach.'!K31*2</f>
        <v>1.6570295666513035</v>
      </c>
      <c r="E32" s="520">
        <f>'BW2-Field Act. Labor &amp; Mach.'!L31*2</f>
        <v>27.363002680965153</v>
      </c>
      <c r="F32" s="526"/>
      <c r="G32" s="133"/>
      <c r="H32" s="133"/>
      <c r="I32" s="457"/>
      <c r="J32" s="110"/>
      <c r="K32" s="112"/>
      <c r="L32" s="118"/>
      <c r="M32" s="112"/>
      <c r="N32" s="112"/>
      <c r="O32" s="112"/>
      <c r="P32" s="112"/>
    </row>
    <row r="33" spans="2:20" ht="15" customHeight="1">
      <c r="B33" s="151" t="str">
        <f>'BW5-Irrigation'!$B$8</f>
        <v>Irrigation supply cost</v>
      </c>
      <c r="C33" s="512"/>
      <c r="D33" s="520"/>
      <c r="E33" s="520"/>
      <c r="F33" s="526">
        <f>'BW5-Irrigation'!$E$8</f>
        <v>32.773534158149545</v>
      </c>
      <c r="G33" s="1029" t="s">
        <v>851</v>
      </c>
      <c r="H33" s="133"/>
      <c r="I33" s="457"/>
      <c r="J33" s="110"/>
      <c r="K33" s="112"/>
      <c r="L33" s="118"/>
      <c r="M33" s="112"/>
      <c r="N33" s="112"/>
      <c r="O33" s="112"/>
      <c r="P33" s="112"/>
    </row>
    <row r="34" spans="2:20" ht="15" customHeight="1">
      <c r="B34" s="132" t="str">
        <f>'BW5-Irrigation'!$B$9</f>
        <v>Irrigation set-up labor cost</v>
      </c>
      <c r="C34" s="512">
        <f>'BW5-Irrigation'!$E$9</f>
        <v>50.735370890410955</v>
      </c>
      <c r="D34" s="520"/>
      <c r="E34" s="520"/>
      <c r="F34" s="526"/>
      <c r="G34" s="1029" t="s">
        <v>851</v>
      </c>
      <c r="H34" s="133"/>
      <c r="I34" s="457"/>
      <c r="J34" s="110"/>
      <c r="K34" s="112"/>
      <c r="L34" s="118"/>
      <c r="M34" s="112"/>
      <c r="N34" s="112"/>
      <c r="O34" s="112"/>
      <c r="P34" s="112"/>
    </row>
    <row r="35" spans="2:20" ht="15" customHeight="1">
      <c r="B35" s="132" t="s">
        <v>184</v>
      </c>
      <c r="C35" s="512">
        <f>'BW2-Field Act. Labor &amp; Mach.'!I39*'BW5-Irrigation'!C18</f>
        <v>126.64416</v>
      </c>
      <c r="D35" s="520"/>
      <c r="E35" s="520"/>
      <c r="F35" s="526"/>
      <c r="G35" s="265"/>
      <c r="H35" s="133"/>
      <c r="I35" s="457"/>
      <c r="J35" s="110"/>
      <c r="K35" s="112"/>
      <c r="L35" s="118"/>
      <c r="M35" s="112"/>
      <c r="N35" s="112"/>
      <c r="O35" s="112"/>
      <c r="P35" s="112"/>
    </row>
    <row r="36" spans="2:20" ht="15" customHeight="1">
      <c r="B36" s="462" t="str">
        <f>'BW2-Field Act. Labor &amp; Mach.'!$B$32</f>
        <v>Seed buckwheat on plot edge</v>
      </c>
      <c r="C36" s="512">
        <f>'BW2-Field Act. Labor &amp; Mach.'!$I$32</f>
        <v>6.59605</v>
      </c>
      <c r="D36" s="520">
        <f>'BW2-Field Act. Labor &amp; Mach.'!K32</f>
        <v>0.70423756582680397</v>
      </c>
      <c r="E36" s="520">
        <f>'BW2-Field Act. Labor &amp; Mach.'!L32</f>
        <v>11.629276139410191</v>
      </c>
      <c r="F36" s="526"/>
      <c r="G36" s="133"/>
      <c r="H36" s="463"/>
      <c r="I36" s="457"/>
      <c r="J36" s="115"/>
      <c r="K36" s="112"/>
      <c r="L36" s="118"/>
      <c r="M36" s="112"/>
      <c r="N36" s="112"/>
      <c r="O36" s="112"/>
      <c r="P36" s="112"/>
    </row>
    <row r="37" spans="2:20" ht="15" customHeight="1">
      <c r="B37" s="482" t="str">
        <f>'BW3-Variable Input'!$B$36</f>
        <v>Buckwheat seed for edge of field</v>
      </c>
      <c r="C37" s="512"/>
      <c r="D37" s="520"/>
      <c r="E37" s="520"/>
      <c r="F37" s="526">
        <f>'BW3-Variable Input'!$C$36</f>
        <v>8.8000000000000007</v>
      </c>
      <c r="G37" s="133"/>
      <c r="H37" s="133"/>
      <c r="I37" s="457"/>
      <c r="J37" s="110"/>
      <c r="K37" s="112"/>
      <c r="L37" s="118"/>
      <c r="M37" s="112"/>
      <c r="N37" s="112"/>
      <c r="O37" s="112"/>
      <c r="P37" s="112"/>
    </row>
    <row r="38" spans="2:20" ht="15" customHeight="1">
      <c r="B38" s="462" t="s">
        <v>337</v>
      </c>
      <c r="C38" s="512">
        <f>'BW2-Field Act. Labor &amp; Mach.'!$I$28*4</f>
        <v>42.21472</v>
      </c>
      <c r="D38" s="520">
        <f>'BW2-Field Act. Labor &amp; Mach.'!K28*4</f>
        <v>17.42643662842935</v>
      </c>
      <c r="E38" s="520">
        <f>'BW2-Field Act. Labor &amp; Mach.'!L28*4</f>
        <v>46.202936664475125</v>
      </c>
      <c r="F38" s="526"/>
      <c r="G38" s="133"/>
      <c r="H38" s="463"/>
      <c r="I38" s="457"/>
      <c r="J38" s="115"/>
      <c r="K38" s="112"/>
      <c r="L38" s="118"/>
      <c r="M38" s="112"/>
      <c r="N38" s="112"/>
      <c r="O38" s="112"/>
      <c r="P38" s="112"/>
    </row>
    <row r="39" spans="2:20" ht="15" customHeight="1">
      <c r="B39" s="462" t="s">
        <v>186</v>
      </c>
      <c r="C39" s="512">
        <f>'BW2-Field Act. Labor &amp; Mach.'!I43*1.5</f>
        <v>1009.19565</v>
      </c>
      <c r="D39" s="520"/>
      <c r="E39" s="520"/>
      <c r="F39" s="526"/>
      <c r="G39" s="133"/>
      <c r="H39" s="479"/>
      <c r="I39" s="461"/>
      <c r="J39" s="228"/>
      <c r="K39" s="228"/>
      <c r="L39"/>
      <c r="M39"/>
      <c r="N39"/>
      <c r="O39"/>
      <c r="P39"/>
      <c r="Q39"/>
      <c r="R39"/>
      <c r="S39"/>
      <c r="T39"/>
    </row>
    <row r="40" spans="2:20" ht="15" customHeight="1">
      <c r="B40" s="462" t="s">
        <v>185</v>
      </c>
      <c r="C40" s="512">
        <f>'BW2-Field Act. Labor &amp; Mach.'!$I$34*2</f>
        <v>197.88149999999999</v>
      </c>
      <c r="D40" s="520"/>
      <c r="E40" s="520"/>
      <c r="F40" s="526"/>
      <c r="G40" s="133"/>
      <c r="H40" s="133"/>
      <c r="I40" s="458"/>
      <c r="J40" s="110"/>
      <c r="K40" s="112"/>
      <c r="L40" s="118"/>
      <c r="M40" s="112"/>
      <c r="N40" s="112"/>
      <c r="O40" s="112"/>
      <c r="P40" s="112"/>
    </row>
    <row r="41" spans="2:20" ht="15" customHeight="1">
      <c r="B41" s="493" t="s">
        <v>180</v>
      </c>
      <c r="C41" s="513">
        <f>'BW2-Field Act. Labor &amp; Mach.'!$I$29*2</f>
        <v>63.32208</v>
      </c>
      <c r="D41" s="521">
        <f>'BW2-Field Act. Labor &amp; Mach.'!K29*2</f>
        <v>18.849340278005133</v>
      </c>
      <c r="E41" s="521">
        <f>'BW2-Field Act. Labor &amp; Mach.'!L29*2</f>
        <v>51.654848024316109</v>
      </c>
      <c r="F41" s="527"/>
      <c r="G41" s="486"/>
      <c r="H41" s="485"/>
      <c r="I41" s="458"/>
      <c r="J41" s="115"/>
      <c r="K41" s="112"/>
      <c r="L41" s="118"/>
      <c r="M41" s="112"/>
      <c r="N41" s="112"/>
      <c r="O41" s="112"/>
      <c r="P41" s="112"/>
    </row>
    <row r="42" spans="2:20" s="453" customFormat="1" ht="15" customHeight="1">
      <c r="B42" s="824" t="s">
        <v>508</v>
      </c>
      <c r="C42" s="444">
        <f>SUM(C12:C14, C17:C24, C27:C29,C32:C41)</f>
        <v>1695.7902408904108</v>
      </c>
      <c r="D42" s="444">
        <f>SUM(D12:D14, D17:D24, D27:D29,D32:D41)</f>
        <v>137.4215881536299</v>
      </c>
      <c r="E42" s="444">
        <f>SUM(E12:E14, E17:E24, E27:E29,E32:E41)</f>
        <v>326.58619926456839</v>
      </c>
      <c r="F42" s="444">
        <f>SUM(F12:F14, F17:F24, F27:F29,F32:F41)</f>
        <v>574.29353415814955</v>
      </c>
      <c r="G42" s="445" t="s">
        <v>4</v>
      </c>
      <c r="H42" s="446">
        <f>SUM(C42:F42)</f>
        <v>2734.0915624667587</v>
      </c>
      <c r="J42" s="117"/>
      <c r="K42" s="476"/>
      <c r="L42" s="476"/>
      <c r="M42" s="477"/>
      <c r="N42" s="477"/>
      <c r="O42" s="477"/>
      <c r="P42" s="477"/>
      <c r="Q42" s="475"/>
    </row>
    <row r="43" spans="2:20" s="120" customFormat="1" ht="15" customHeight="1">
      <c r="B43" s="593"/>
      <c r="C43" s="133"/>
      <c r="D43" s="133"/>
      <c r="E43" s="133"/>
      <c r="F43" s="133"/>
      <c r="G43" s="133"/>
      <c r="H43" s="924"/>
    </row>
    <row r="44" spans="2:20" s="119" customFormat="1" ht="15" customHeight="1">
      <c r="B44" s="116" t="s">
        <v>914</v>
      </c>
      <c r="C44" s="133"/>
      <c r="D44" s="133"/>
      <c r="E44" s="133"/>
      <c r="F44" s="133"/>
      <c r="G44" s="265"/>
      <c r="H44" s="924"/>
      <c r="I44" s="120"/>
      <c r="J44" s="120"/>
    </row>
    <row r="45" spans="2:20" ht="15" customHeight="1">
      <c r="B45" s="921" t="s">
        <v>3</v>
      </c>
      <c r="C45" s="514"/>
      <c r="D45" s="522"/>
      <c r="E45" s="522"/>
      <c r="F45" s="528"/>
      <c r="G45" s="983"/>
      <c r="H45" s="983"/>
      <c r="J45" s="109"/>
      <c r="K45" s="118"/>
      <c r="L45" s="112"/>
      <c r="M45" s="111"/>
      <c r="N45" s="111"/>
      <c r="O45" s="111"/>
      <c r="P45" s="111"/>
      <c r="Q45" s="109"/>
    </row>
    <row r="46" spans="2:20" ht="15" customHeight="1">
      <c r="B46" s="132" t="s">
        <v>182</v>
      </c>
      <c r="C46" s="512">
        <f>'BW6-Harvest and Wash-Pack'!D13</f>
        <v>659.60500000000002</v>
      </c>
      <c r="D46" s="520">
        <f>'BW2-Field Act. Labor &amp; Mach.'!K56+'BW2-Field Act. Labor &amp; Mach.'!K54</f>
        <v>11.7017950409</v>
      </c>
      <c r="E46" s="520">
        <f>'BW2-Field Act. Labor &amp; Mach.'!L56+'BW2-Field Act. Labor &amp; Mach.'!L54</f>
        <v>24.172505221066189</v>
      </c>
      <c r="F46" s="526"/>
      <c r="G46" s="1029" t="s">
        <v>852</v>
      </c>
      <c r="H46" s="463"/>
      <c r="I46" s="415"/>
      <c r="J46" s="109"/>
      <c r="K46" s="118"/>
      <c r="L46" s="112"/>
      <c r="M46" s="113"/>
      <c r="N46" s="113"/>
      <c r="O46" s="113"/>
      <c r="P46" s="113"/>
      <c r="Q46" s="109"/>
    </row>
    <row r="47" spans="2:20" ht="15" customHeight="1">
      <c r="B47" s="132" t="s">
        <v>349</v>
      </c>
      <c r="C47" s="512">
        <f>'BW6-Harvest and Wash-Pack'!F13</f>
        <v>329.80250000000001</v>
      </c>
      <c r="D47" s="520"/>
      <c r="E47" s="520"/>
      <c r="F47" s="526"/>
      <c r="G47" s="1029" t="s">
        <v>852</v>
      </c>
      <c r="H47" s="463"/>
      <c r="I47" s="415"/>
      <c r="J47" s="109"/>
      <c r="K47" s="118"/>
      <c r="L47" s="112"/>
      <c r="M47" s="113"/>
      <c r="N47" s="113"/>
      <c r="O47" s="113"/>
      <c r="P47" s="113"/>
      <c r="Q47" s="109"/>
    </row>
    <row r="48" spans="2:20" ht="15" customHeight="1">
      <c r="B48" s="418" t="str">
        <f>'BW3-Variable Input'!B68</f>
        <v>Plastic produce bags</v>
      </c>
      <c r="C48" s="513"/>
      <c r="D48" s="521"/>
      <c r="E48" s="521"/>
      <c r="F48" s="527">
        <f>'BW3-Variable Input'!C68</f>
        <v>62.749694749694754</v>
      </c>
      <c r="G48" s="486"/>
      <c r="H48" s="485"/>
      <c r="I48" s="415"/>
      <c r="J48" s="109"/>
      <c r="K48" s="118"/>
      <c r="L48" s="112"/>
      <c r="M48" s="113"/>
      <c r="N48" s="113"/>
      <c r="O48" s="113"/>
      <c r="P48" s="113"/>
      <c r="Q48" s="109"/>
    </row>
    <row r="49" spans="2:17" s="453" customFormat="1" ht="15" customHeight="1">
      <c r="B49" s="824" t="s">
        <v>508</v>
      </c>
      <c r="C49" s="444">
        <f>SUM(C46:C48)</f>
        <v>989.40750000000003</v>
      </c>
      <c r="D49" s="444">
        <f>SUM(D46:D48)</f>
        <v>11.7017950409</v>
      </c>
      <c r="E49" s="444">
        <f>SUM(E46:E48)</f>
        <v>24.172505221066189</v>
      </c>
      <c r="F49" s="444">
        <f>SUM(F46:F48)</f>
        <v>62.749694749694754</v>
      </c>
      <c r="G49" s="445" t="s">
        <v>4</v>
      </c>
      <c r="H49" s="446">
        <f>SUM(C49:F49)</f>
        <v>1088.031495011661</v>
      </c>
      <c r="J49" s="117"/>
      <c r="K49" s="476"/>
      <c r="L49" s="476"/>
      <c r="M49" s="477"/>
      <c r="N49" s="477"/>
      <c r="O49" s="477"/>
      <c r="P49" s="477"/>
      <c r="Q49" s="475"/>
    </row>
    <row r="50" spans="2:17" s="120" customFormat="1" ht="15" customHeight="1">
      <c r="B50" s="593"/>
      <c r="C50" s="133"/>
      <c r="D50" s="133"/>
      <c r="E50" s="133"/>
      <c r="F50" s="133"/>
      <c r="G50" s="133"/>
      <c r="H50" s="924"/>
    </row>
    <row r="51" spans="2:17" s="119" customFormat="1" ht="15" customHeight="1">
      <c r="B51" s="116" t="s">
        <v>662</v>
      </c>
      <c r="C51" s="133"/>
      <c r="D51" s="133"/>
      <c r="E51" s="133"/>
      <c r="F51" s="133"/>
      <c r="G51" s="229"/>
      <c r="H51" s="924"/>
      <c r="I51" s="120"/>
    </row>
    <row r="52" spans="2:17" ht="15" customHeight="1">
      <c r="B52" s="921" t="s">
        <v>663</v>
      </c>
      <c r="C52" s="515"/>
      <c r="D52" s="438"/>
      <c r="E52" s="438"/>
      <c r="F52" s="529"/>
      <c r="G52" s="422"/>
      <c r="H52" s="494"/>
      <c r="I52" s="458"/>
      <c r="J52" s="110"/>
      <c r="K52" s="112"/>
      <c r="L52" s="112"/>
      <c r="M52" s="113"/>
      <c r="N52" s="113"/>
      <c r="O52" s="113"/>
      <c r="P52" s="113"/>
      <c r="Q52" s="109"/>
    </row>
    <row r="53" spans="2:17" ht="15" customHeight="1">
      <c r="B53" s="132" t="s">
        <v>150</v>
      </c>
      <c r="C53" s="512">
        <f>'BW2-Field Act. Labor &amp; Mach.'!$I$65</f>
        <v>42.21472</v>
      </c>
      <c r="D53" s="520">
        <f>'BW2-Field Act. Labor &amp; Mach.'!K65</f>
        <v>3.4075700159999998</v>
      </c>
      <c r="E53" s="520">
        <f>'BW2-Field Act. Labor &amp; Mach.'!L65</f>
        <v>2.89283314099518</v>
      </c>
      <c r="F53" s="526"/>
      <c r="G53" s="133"/>
      <c r="H53" s="463"/>
      <c r="I53" s="458"/>
      <c r="J53" s="110"/>
      <c r="K53" s="118"/>
      <c r="L53" s="112"/>
      <c r="M53" s="113"/>
      <c r="N53" s="113"/>
      <c r="O53" s="113"/>
      <c r="P53" s="113"/>
      <c r="Q53" s="109"/>
    </row>
    <row r="54" spans="2:17" ht="15" customHeight="1">
      <c r="B54" s="462" t="s">
        <v>43</v>
      </c>
      <c r="C54" s="512">
        <f>'BW2-Field Act. Labor &amp; Mach.'!$I$66</f>
        <v>5.27684</v>
      </c>
      <c r="D54" s="520">
        <f>'BW2-Field Act. Labor &amp; Mach.'!K66</f>
        <v>4.7393418269465482</v>
      </c>
      <c r="E54" s="520">
        <f>'BW2-Field Act. Labor &amp; Mach.'!L66</f>
        <v>4.8215303303156709</v>
      </c>
      <c r="F54" s="526"/>
      <c r="G54" s="133"/>
      <c r="H54" s="463"/>
      <c r="I54" s="458"/>
      <c r="J54" s="110"/>
      <c r="K54" s="112"/>
      <c r="L54" s="112"/>
      <c r="M54" s="113"/>
      <c r="N54" s="113"/>
      <c r="O54" s="113"/>
      <c r="P54" s="113"/>
      <c r="Q54" s="109"/>
    </row>
    <row r="55" spans="2:17" ht="15" customHeight="1">
      <c r="B55" s="462" t="s">
        <v>44</v>
      </c>
      <c r="C55" s="512">
        <f>'BW2-Field Act. Labor &amp; Mach.'!$I$67</f>
        <v>5.27684</v>
      </c>
      <c r="D55" s="520">
        <f>'BW2-Field Act. Labor &amp; Mach.'!K67</f>
        <v>4.5754035882945541</v>
      </c>
      <c r="E55" s="520">
        <f>'BW2-Field Act. Labor &amp; Mach.'!L67</f>
        <v>8.7882358546602415</v>
      </c>
      <c r="F55" s="526"/>
      <c r="G55" s="133"/>
      <c r="H55" s="463"/>
      <c r="I55" s="458"/>
      <c r="J55" s="110"/>
      <c r="K55" s="112"/>
      <c r="L55" s="112"/>
      <c r="M55" s="113"/>
      <c r="N55" s="113"/>
      <c r="O55" s="113"/>
      <c r="P55" s="113"/>
      <c r="Q55" s="109"/>
    </row>
    <row r="56" spans="2:17" ht="15" customHeight="1">
      <c r="B56" s="462" t="s">
        <v>45</v>
      </c>
      <c r="C56" s="512">
        <f>'BW2-Field Act. Labor &amp; Mach.'!$I$69</f>
        <v>14.511310000000002</v>
      </c>
      <c r="D56" s="520">
        <f>'BW2-Field Act. Labor &amp; Mach.'!K69</f>
        <v>5.9046727740142977</v>
      </c>
      <c r="E56" s="520">
        <f>'BW2-Field Act. Labor &amp; Mach.'!L69</f>
        <v>8.041581086300118</v>
      </c>
      <c r="F56" s="526"/>
      <c r="G56" s="133"/>
      <c r="H56" s="463"/>
      <c r="I56" s="435"/>
      <c r="J56" s="115"/>
      <c r="K56" s="118"/>
      <c r="L56" s="112"/>
      <c r="M56" s="113"/>
      <c r="N56" s="113"/>
      <c r="O56" s="113"/>
      <c r="P56" s="113"/>
      <c r="Q56" s="109"/>
    </row>
    <row r="57" spans="2:17" ht="15" customHeight="1">
      <c r="B57" s="500" t="str">
        <f>'BW3-Variable Input'!$B$33</f>
        <v>Winter cover crop seed</v>
      </c>
      <c r="C57" s="513"/>
      <c r="D57" s="521"/>
      <c r="E57" s="521"/>
      <c r="F57" s="527">
        <f>'BW3-Variable Input'!$C$33</f>
        <v>31.793452380952385</v>
      </c>
      <c r="G57" s="486"/>
      <c r="H57" s="485"/>
      <c r="I57" s="458"/>
      <c r="J57" s="110"/>
      <c r="K57" s="112"/>
      <c r="L57" s="112"/>
      <c r="M57" s="113"/>
      <c r="N57" s="113"/>
      <c r="O57" s="113"/>
      <c r="P57" s="113"/>
      <c r="Q57" s="109"/>
    </row>
    <row r="58" spans="2:17" s="453" customFormat="1" ht="15" customHeight="1">
      <c r="B58" s="824" t="s">
        <v>508</v>
      </c>
      <c r="C58" s="444">
        <f>SUM(C53:C57)</f>
        <v>67.279709999999994</v>
      </c>
      <c r="D58" s="444">
        <f>SUM(D53:D57)</f>
        <v>18.626988205255401</v>
      </c>
      <c r="E58" s="444">
        <f>SUM(E53:E57)</f>
        <v>24.54418041227121</v>
      </c>
      <c r="F58" s="444">
        <f>SUM(F53:F57)</f>
        <v>31.793452380952385</v>
      </c>
      <c r="G58" s="447" t="s">
        <v>4</v>
      </c>
      <c r="H58" s="446">
        <f>SUM(C58:F58)</f>
        <v>142.24433099847897</v>
      </c>
      <c r="J58" s="117"/>
      <c r="K58" s="476"/>
      <c r="L58" s="476"/>
      <c r="M58" s="478"/>
      <c r="N58" s="478"/>
      <c r="O58" s="478"/>
      <c r="P58" s="478"/>
      <c r="Q58" s="475"/>
    </row>
    <row r="59" spans="2:17" s="120" customFormat="1" ht="15" customHeight="1">
      <c r="B59" s="593"/>
      <c r="C59" s="133"/>
      <c r="D59" s="133"/>
      <c r="E59" s="133"/>
      <c r="F59" s="133"/>
      <c r="G59" s="463"/>
      <c r="H59" s="463"/>
      <c r="I59" s="435"/>
      <c r="J59" s="115"/>
      <c r="K59" s="825"/>
      <c r="L59" s="127"/>
      <c r="M59" s="113"/>
      <c r="N59" s="113"/>
      <c r="O59" s="113"/>
      <c r="P59" s="113"/>
    </row>
    <row r="60" spans="2:17" s="453" customFormat="1" ht="15" customHeight="1">
      <c r="B60" s="116" t="s">
        <v>515</v>
      </c>
      <c r="C60" s="444">
        <f>C42+C49+C58</f>
        <v>2752.4774508904106</v>
      </c>
      <c r="D60" s="444">
        <f>D42+D49+D58</f>
        <v>167.75037139978531</v>
      </c>
      <c r="E60" s="444">
        <f>E42+E49+E58</f>
        <v>375.30288489790576</v>
      </c>
      <c r="F60" s="444">
        <f>F42+F49+F58</f>
        <v>668.83668128879674</v>
      </c>
      <c r="G60" s="447" t="s">
        <v>4</v>
      </c>
      <c r="H60" s="446">
        <f>SUM(C60:F60)</f>
        <v>3964.3673884768982</v>
      </c>
      <c r="J60" s="117"/>
      <c r="K60" s="476"/>
      <c r="L60" s="476"/>
      <c r="M60" s="478"/>
      <c r="N60" s="478"/>
      <c r="O60" s="478"/>
      <c r="P60" s="478"/>
      <c r="Q60" s="475"/>
    </row>
    <row r="61" spans="2:17" ht="15" customHeight="1">
      <c r="B61" s="114"/>
      <c r="C61" s="133"/>
      <c r="D61" s="133"/>
      <c r="E61" s="133"/>
      <c r="F61" s="133"/>
      <c r="G61" s="133"/>
      <c r="H61" s="463"/>
      <c r="J61" s="110"/>
      <c r="K61" s="112"/>
      <c r="L61" s="112"/>
      <c r="M61" s="113"/>
      <c r="N61" s="113"/>
      <c r="O61" s="113"/>
      <c r="P61" s="113"/>
      <c r="Q61" s="109"/>
    </row>
    <row r="62" spans="2:17">
      <c r="B62" s="1032"/>
      <c r="C62" s="1033"/>
      <c r="D62" s="1033"/>
      <c r="E62" s="1033"/>
      <c r="F62" s="1033"/>
      <c r="G62" s="1033"/>
      <c r="H62" s="1033"/>
    </row>
    <row r="63" spans="2:17">
      <c r="B63" s="916"/>
      <c r="C63" s="916"/>
      <c r="D63" s="916"/>
      <c r="E63" s="916"/>
      <c r="F63" s="916"/>
      <c r="G63" s="916"/>
      <c r="H63" s="916"/>
    </row>
    <row r="64" spans="2:17">
      <c r="B64" s="116" t="s">
        <v>664</v>
      </c>
      <c r="C64" s="916"/>
      <c r="D64" s="916"/>
      <c r="E64" s="916"/>
      <c r="F64" s="916"/>
      <c r="G64" s="916"/>
      <c r="H64" s="916"/>
    </row>
    <row r="65" spans="2:10">
      <c r="B65" s="985" t="s">
        <v>668</v>
      </c>
      <c r="C65" s="916"/>
      <c r="D65" s="916"/>
      <c r="E65" s="916"/>
      <c r="F65" s="916"/>
      <c r="G65" s="916"/>
      <c r="H65" s="986">
        <f>C42+C58</f>
        <v>1763.0699508904108</v>
      </c>
    </row>
    <row r="66" spans="2:10">
      <c r="B66" s="135" t="s">
        <v>667</v>
      </c>
      <c r="C66" s="916"/>
      <c r="D66" s="916"/>
      <c r="E66" s="916"/>
      <c r="F66" s="916"/>
      <c r="G66" s="916"/>
      <c r="H66" s="986">
        <f>D42+D58</f>
        <v>156.0485763588853</v>
      </c>
    </row>
    <row r="67" spans="2:10">
      <c r="B67" s="985" t="s">
        <v>669</v>
      </c>
      <c r="C67" s="133"/>
      <c r="D67" s="133"/>
      <c r="E67" s="133"/>
      <c r="F67" s="133"/>
      <c r="G67" s="132"/>
      <c r="H67" s="133">
        <f>F42+F58</f>
        <v>606.08698653910199</v>
      </c>
      <c r="I67" s="415"/>
      <c r="J67" s="109"/>
    </row>
    <row r="68" spans="2:10">
      <c r="B68" s="831" t="s">
        <v>666</v>
      </c>
      <c r="C68" s="916"/>
      <c r="D68" s="916"/>
      <c r="E68" s="916"/>
      <c r="F68" s="916"/>
      <c r="G68" s="916"/>
      <c r="H68" s="849">
        <f>SUM(H65:H67)</f>
        <v>2525.2055137883981</v>
      </c>
    </row>
    <row r="69" spans="2:10">
      <c r="B69" s="985" t="s">
        <v>680</v>
      </c>
      <c r="C69" s="916"/>
      <c r="D69" s="916"/>
      <c r="E69" s="916"/>
      <c r="F69" s="916"/>
      <c r="G69" s="916"/>
      <c r="H69" s="986">
        <f>C49</f>
        <v>989.40750000000003</v>
      </c>
    </row>
    <row r="70" spans="2:10">
      <c r="B70" s="985" t="s">
        <v>445</v>
      </c>
      <c r="C70" s="916"/>
      <c r="D70" s="916"/>
      <c r="E70" s="916"/>
      <c r="F70" s="916"/>
      <c r="G70" s="916"/>
      <c r="H70" s="986">
        <f>D49</f>
        <v>11.7017950409</v>
      </c>
    </row>
    <row r="71" spans="2:10">
      <c r="B71" s="985" t="s">
        <v>670</v>
      </c>
      <c r="C71" s="916"/>
      <c r="D71" s="916"/>
      <c r="E71" s="916"/>
      <c r="F71" s="916"/>
      <c r="G71" s="916"/>
      <c r="H71" s="986">
        <f>F49</f>
        <v>62.749694749694754</v>
      </c>
    </row>
    <row r="72" spans="2:10">
      <c r="B72" s="831" t="s">
        <v>671</v>
      </c>
      <c r="C72" s="43"/>
      <c r="D72" s="43"/>
      <c r="E72" s="832"/>
      <c r="F72" s="43"/>
      <c r="G72" s="43"/>
      <c r="H72" s="598">
        <f>SUM(H69:H71)</f>
        <v>1063.8589897905949</v>
      </c>
    </row>
    <row r="73" spans="2:10">
      <c r="B73" s="833" t="s">
        <v>513</v>
      </c>
      <c r="C73" s="919"/>
      <c r="D73" s="919"/>
      <c r="E73" s="987"/>
      <c r="F73" s="988"/>
      <c r="G73" s="919"/>
      <c r="H73" s="818">
        <f>H68+H72</f>
        <v>3589.064503578993</v>
      </c>
    </row>
    <row r="74" spans="2:10">
      <c r="B74" s="985" t="s">
        <v>672</v>
      </c>
      <c r="C74" s="135"/>
      <c r="D74" s="135"/>
      <c r="E74" s="472"/>
      <c r="F74" s="135"/>
      <c r="G74" s="135"/>
      <c r="H74" s="989">
        <f>E42+E58</f>
        <v>351.1303796768396</v>
      </c>
    </row>
    <row r="75" spans="2:10">
      <c r="B75" s="985" t="s">
        <v>673</v>
      </c>
      <c r="C75" s="135"/>
      <c r="D75" s="135"/>
      <c r="E75" s="472"/>
      <c r="F75" s="135"/>
      <c r="G75" s="135"/>
      <c r="H75" s="990">
        <f>E49</f>
        <v>24.172505221066189</v>
      </c>
    </row>
    <row r="76" spans="2:10">
      <c r="B76" s="837" t="s">
        <v>514</v>
      </c>
      <c r="C76" s="919"/>
      <c r="D76" s="919"/>
      <c r="E76" s="987"/>
      <c r="F76" s="988"/>
      <c r="G76" s="919"/>
      <c r="H76" s="819">
        <f>H74+H75</f>
        <v>375.30288489790576</v>
      </c>
    </row>
    <row r="77" spans="2:10">
      <c r="B77" s="916"/>
      <c r="C77" s="916"/>
      <c r="D77" s="916"/>
      <c r="E77" s="916"/>
      <c r="F77" s="916"/>
      <c r="G77" s="916"/>
      <c r="H77" s="916"/>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T84"/>
  <sheetViews>
    <sheetView showGridLines="0" view="pageLayout" topLeftCell="A26" workbookViewId="0">
      <selection activeCell="B49" sqref="B49"/>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14.7109375" style="108" customWidth="1"/>
    <col min="11" max="11" width="8.42578125" style="108" customWidth="1"/>
    <col min="12" max="12" width="6.85546875" style="108" customWidth="1"/>
    <col min="13" max="13" width="14.42578125" style="108" customWidth="1"/>
    <col min="14" max="15" width="8.7109375" style="108"/>
    <col min="16" max="16" width="12.42578125" style="108" customWidth="1"/>
    <col min="17" max="19" width="8.7109375" style="108"/>
    <col min="20" max="20" width="11.5703125" style="108" customWidth="1"/>
    <col min="21" max="16384" width="8.7109375" style="108"/>
  </cols>
  <sheetData>
    <row r="1" spans="2:20" ht="16" thickBot="1">
      <c r="F1" s="563"/>
      <c r="G1" s="1263" t="s">
        <v>512</v>
      </c>
      <c r="H1" s="1264"/>
    </row>
    <row r="2" spans="2:20" ht="25" customHeight="1">
      <c r="B2" s="1024" t="str">
        <f>'Workbook Index'!B32</f>
        <v>Cauliflower</v>
      </c>
      <c r="C2" s="221"/>
      <c r="D2" s="221"/>
      <c r="E2" s="221"/>
      <c r="I2" s="564"/>
      <c r="J2" s="109"/>
      <c r="K2" s="109"/>
      <c r="L2" s="109"/>
      <c r="M2" s="109"/>
      <c r="N2" s="109"/>
      <c r="O2" s="109"/>
    </row>
    <row r="3" spans="2:20" ht="33.5" customHeight="1">
      <c r="B3" s="1027" t="s">
        <v>716</v>
      </c>
      <c r="C3" s="132" t="s">
        <v>367</v>
      </c>
      <c r="E3" s="222" t="s">
        <v>14</v>
      </c>
      <c r="F3"/>
      <c r="G3"/>
      <c r="H3"/>
      <c r="I3" s="130"/>
      <c r="J3" s="226"/>
      <c r="K3" s="226"/>
      <c r="L3" s="226"/>
      <c r="M3" s="120"/>
      <c r="N3" s="117"/>
      <c r="O3" s="129"/>
      <c r="P3" s="112"/>
      <c r="Q3" s="112"/>
      <c r="R3" s="112"/>
      <c r="S3" s="112"/>
      <c r="T3" s="112"/>
    </row>
    <row r="4" spans="2:20">
      <c r="B4" s="918"/>
      <c r="C4" s="132" t="s">
        <v>47</v>
      </c>
      <c r="D4" s="916"/>
      <c r="E4" s="1067">
        <f>'BW1-Bed and Row Spacing'!J14</f>
        <v>6701.5384615384619</v>
      </c>
      <c r="F4" s="135"/>
      <c r="G4" s="135"/>
      <c r="H4" s="135"/>
      <c r="I4" s="130"/>
      <c r="J4" s="226"/>
      <c r="K4" s="226"/>
      <c r="L4" s="226"/>
      <c r="M4" s="120"/>
      <c r="N4" s="110"/>
      <c r="O4" s="111"/>
      <c r="P4" s="112"/>
      <c r="Q4" s="112"/>
      <c r="R4" s="112"/>
      <c r="S4" s="112"/>
      <c r="T4" s="112"/>
    </row>
    <row r="5" spans="2:20">
      <c r="B5" s="915"/>
      <c r="C5" s="132" t="s">
        <v>366</v>
      </c>
      <c r="D5" s="916"/>
      <c r="E5" s="1338" t="s">
        <v>827</v>
      </c>
      <c r="F5" s="1338"/>
      <c r="G5" s="1338"/>
      <c r="H5" s="1338"/>
      <c r="I5" s="224"/>
      <c r="J5" s="225"/>
      <c r="K5" s="225"/>
      <c r="L5" s="225"/>
      <c r="M5" s="127"/>
      <c r="N5" s="110"/>
      <c r="O5" s="111"/>
      <c r="P5" s="112"/>
      <c r="Q5" s="112"/>
      <c r="R5" s="112"/>
      <c r="S5" s="112"/>
      <c r="T5" s="112"/>
    </row>
    <row r="6" spans="2:20">
      <c r="B6" s="223"/>
      <c r="C6" s="915"/>
      <c r="D6" s="916"/>
      <c r="E6" s="1338"/>
      <c r="F6" s="1338"/>
      <c r="G6" s="1338"/>
      <c r="H6" s="1338"/>
      <c r="I6" s="225"/>
      <c r="J6" s="225"/>
      <c r="K6" s="225"/>
      <c r="L6" s="225"/>
      <c r="M6" s="121"/>
      <c r="N6" s="112"/>
      <c r="O6" s="112"/>
      <c r="P6" s="112"/>
      <c r="Q6" s="112"/>
    </row>
    <row r="7" spans="2:20">
      <c r="B7" s="1032"/>
      <c r="C7" s="1033"/>
      <c r="D7" s="1033"/>
      <c r="E7" s="1033"/>
      <c r="F7" s="1033"/>
      <c r="G7" s="1033"/>
      <c r="H7" s="1033"/>
    </row>
    <row r="8" spans="2:20">
      <c r="B8" s="553" t="s">
        <v>517</v>
      </c>
      <c r="C8" s="492"/>
      <c r="D8" s="492"/>
      <c r="E8" s="492"/>
      <c r="F8" s="492"/>
      <c r="G8" s="492"/>
      <c r="H8" s="492"/>
      <c r="I8" s="109"/>
    </row>
    <row r="9" spans="2:20" customFormat="1" ht="33" customHeight="1">
      <c r="B9" s="420" t="s">
        <v>711</v>
      </c>
      <c r="C9" s="421" t="s">
        <v>707</v>
      </c>
      <c r="D9" s="421" t="s">
        <v>708</v>
      </c>
      <c r="E9" s="421" t="s">
        <v>709</v>
      </c>
      <c r="F9" s="421" t="s">
        <v>710</v>
      </c>
      <c r="G9" s="919"/>
      <c r="H9" s="920"/>
      <c r="M9" s="112"/>
      <c r="N9" s="112"/>
      <c r="O9" s="112"/>
      <c r="P9" s="6"/>
      <c r="Q9" s="6"/>
    </row>
    <row r="10" spans="2:20" customFormat="1" ht="30">
      <c r="B10" s="993" t="s">
        <v>516</v>
      </c>
      <c r="C10" s="991" t="s">
        <v>849</v>
      </c>
      <c r="D10" s="991" t="s">
        <v>849</v>
      </c>
      <c r="E10" s="991" t="s">
        <v>849</v>
      </c>
      <c r="F10" s="991" t="s">
        <v>850</v>
      </c>
      <c r="G10" s="992"/>
      <c r="H10" s="462"/>
      <c r="M10" s="112"/>
      <c r="N10" s="112"/>
      <c r="O10" s="6"/>
      <c r="P10" s="6"/>
    </row>
    <row r="11" spans="2:20" ht="15" customHeight="1">
      <c r="B11" s="921" t="s">
        <v>298</v>
      </c>
      <c r="C11" s="971"/>
      <c r="D11" s="972"/>
      <c r="E11" s="972"/>
      <c r="F11" s="973"/>
      <c r="G11" s="932"/>
      <c r="H11" s="494"/>
      <c r="I11" s="458"/>
      <c r="J11" s="110"/>
      <c r="K11" s="112"/>
      <c r="L11" s="112"/>
      <c r="M11" s="113"/>
      <c r="N11" s="113"/>
      <c r="O11" s="113"/>
      <c r="P11" s="113"/>
      <c r="Q11" s="109"/>
    </row>
    <row r="12" spans="2:20" ht="15" customHeight="1">
      <c r="B12" s="473" t="s">
        <v>145</v>
      </c>
      <c r="C12" s="517">
        <f>'BW2-Field Act. Labor &amp; Mach.'!I9</f>
        <v>9.23447</v>
      </c>
      <c r="D12" s="523">
        <f>'BW2-Field Act. Labor &amp; Mach.'!K9</f>
        <v>7.1626812745625896</v>
      </c>
      <c r="E12" s="523">
        <f>'BW2-Field Act. Labor &amp; Mach.'!L9</f>
        <v>6.5697668891297312</v>
      </c>
      <c r="F12" s="530"/>
      <c r="G12" s="265"/>
      <c r="H12" s="463"/>
      <c r="I12" s="458"/>
      <c r="J12" s="110"/>
      <c r="K12" s="112"/>
      <c r="L12" s="112"/>
      <c r="M12" s="113"/>
      <c r="N12" s="113"/>
      <c r="O12" s="113"/>
      <c r="P12" s="113"/>
      <c r="Q12" s="109"/>
    </row>
    <row r="13" spans="2:20" ht="15" customHeight="1">
      <c r="B13" s="462" t="s">
        <v>305</v>
      </c>
      <c r="C13" s="517">
        <f>'BW2-Field Act. Labor &amp; Mach.'!I69</f>
        <v>14.511310000000002</v>
      </c>
      <c r="D13" s="523">
        <f>'BW2-Field Act. Labor &amp; Mach.'!K69</f>
        <v>5.9046727740142977</v>
      </c>
      <c r="E13" s="523">
        <f>'BW2-Field Act. Labor &amp; Mach.'!L69</f>
        <v>8.041581086300118</v>
      </c>
      <c r="F13" s="530"/>
      <c r="G13" s="133"/>
      <c r="H13" s="463"/>
      <c r="I13" s="458"/>
      <c r="J13" s="110"/>
      <c r="K13" s="112"/>
      <c r="L13" s="112"/>
      <c r="M13" s="113"/>
      <c r="N13" s="113"/>
      <c r="O13" s="113"/>
      <c r="P13" s="113"/>
      <c r="Q13" s="109"/>
    </row>
    <row r="14" spans="2:20" ht="15" customHeight="1">
      <c r="B14" s="503" t="str">
        <f>'BW3-Variable Input'!B34</f>
        <v>Summer cover crop seed</v>
      </c>
      <c r="C14" s="518"/>
      <c r="D14" s="524"/>
      <c r="E14" s="524"/>
      <c r="F14" s="531">
        <f>'BW3-Variable Input'!C34</f>
        <v>32.346666666666671</v>
      </c>
      <c r="G14" s="486"/>
      <c r="H14" s="485"/>
      <c r="I14" s="458"/>
      <c r="J14" s="110"/>
      <c r="K14" s="112"/>
      <c r="L14" s="112"/>
      <c r="M14" s="113"/>
      <c r="N14" s="113"/>
      <c r="O14" s="113"/>
      <c r="P14" s="113"/>
      <c r="Q14" s="109"/>
    </row>
    <row r="15" spans="2:20">
      <c r="B15" s="264"/>
      <c r="C15" s="456"/>
      <c r="D15" s="456"/>
      <c r="E15" s="456"/>
      <c r="F15" s="456"/>
      <c r="G15" s="455"/>
      <c r="H15" s="464"/>
      <c r="I15" s="460"/>
      <c r="J15" s="121"/>
      <c r="K15" s="110"/>
      <c r="L15" s="121"/>
      <c r="M15" s="121"/>
      <c r="N15" s="112"/>
      <c r="O15" s="112"/>
      <c r="P15" s="112"/>
      <c r="Q15" s="112"/>
    </row>
    <row r="16" spans="2:20" ht="15" customHeight="1">
      <c r="B16" s="922" t="s">
        <v>181</v>
      </c>
      <c r="C16" s="514"/>
      <c r="D16" s="522"/>
      <c r="E16" s="522"/>
      <c r="F16" s="528"/>
      <c r="G16" s="509"/>
      <c r="H16" s="509"/>
      <c r="I16" s="460"/>
      <c r="J16" s="110"/>
      <c r="K16" s="122"/>
      <c r="L16" s="121"/>
      <c r="M16" s="121"/>
      <c r="N16" s="112"/>
      <c r="O16" s="112"/>
      <c r="P16" s="112"/>
    </row>
    <row r="17" spans="2:16" ht="15" customHeight="1">
      <c r="B17" s="265" t="s">
        <v>307</v>
      </c>
      <c r="C17" s="512">
        <f>'BW2-Field Act. Labor &amp; Mach.'!$I$9</f>
        <v>9.23447</v>
      </c>
      <c r="D17" s="520">
        <f>'BW2-Field Act. Labor &amp; Mach.'!K9</f>
        <v>7.1626812745625896</v>
      </c>
      <c r="E17" s="520">
        <f>'BW2-Field Act. Labor &amp; Mach.'!L9</f>
        <v>6.5697668891297312</v>
      </c>
      <c r="F17" s="526"/>
      <c r="G17" s="465"/>
      <c r="H17" s="465"/>
      <c r="I17" s="457"/>
      <c r="J17" s="5"/>
      <c r="K17" s="112"/>
      <c r="L17" s="118"/>
      <c r="M17" s="118"/>
      <c r="N17" s="112"/>
      <c r="O17" s="112"/>
      <c r="P17" s="112"/>
    </row>
    <row r="18" spans="2:16" ht="15" customHeight="1">
      <c r="B18" s="132" t="s">
        <v>46</v>
      </c>
      <c r="C18" s="512">
        <f>'BW2-Field Act. Labor &amp; Mach.'!$I$10</f>
        <v>11.87289</v>
      </c>
      <c r="D18" s="520">
        <f>'BW2-Field Act. Labor &amp; Mach.'!K10</f>
        <v>16.900081383311999</v>
      </c>
      <c r="E18" s="520">
        <f>'BW2-Field Act. Labor &amp; Mach.'!L10</f>
        <v>23.703168100043012</v>
      </c>
      <c r="F18" s="526"/>
      <c r="G18" s="133"/>
      <c r="H18" s="465"/>
      <c r="I18" s="457"/>
      <c r="J18" s="5"/>
      <c r="K18" s="112"/>
      <c r="L18" s="112"/>
      <c r="M18" s="112"/>
      <c r="N18" s="118"/>
      <c r="O18" s="112"/>
      <c r="P18" s="112"/>
    </row>
    <row r="19" spans="2:16" ht="15" customHeight="1">
      <c r="B19" s="151" t="s">
        <v>69</v>
      </c>
      <c r="C19" s="512"/>
      <c r="D19" s="520"/>
      <c r="E19" s="520"/>
      <c r="F19" s="526">
        <f>'BW3-Variable Input'!$C$9</f>
        <v>116.66666666666667</v>
      </c>
      <c r="G19" s="133"/>
      <c r="H19" s="465"/>
      <c r="I19" s="457"/>
      <c r="J19" s="5"/>
      <c r="K19" s="112"/>
      <c r="L19" s="112"/>
      <c r="M19" s="112"/>
      <c r="N19" s="118"/>
      <c r="O19" s="112"/>
      <c r="P19" s="112"/>
    </row>
    <row r="20" spans="2:16" ht="15" customHeight="1">
      <c r="B20" s="132" t="s">
        <v>11</v>
      </c>
      <c r="C20" s="512">
        <f>'BW2-Field Act. Labor &amp; Mach.'!I13</f>
        <v>22.426569999999998</v>
      </c>
      <c r="D20" s="520">
        <f>'BW2-Field Act. Labor &amp; Mach.'!K13</f>
        <v>17.993866831056</v>
      </c>
      <c r="E20" s="520">
        <f>'BW2-Field Act. Labor &amp; Mach.'!L13</f>
        <v>44.771770188886023</v>
      </c>
      <c r="F20" s="526"/>
      <c r="G20" s="133"/>
      <c r="H20" s="463"/>
      <c r="I20" s="457"/>
      <c r="J20" s="5"/>
      <c r="K20" s="112"/>
      <c r="L20" s="112"/>
      <c r="M20" s="112"/>
      <c r="N20" s="118"/>
      <c r="O20" s="112"/>
      <c r="P20" s="112"/>
    </row>
    <row r="21" spans="2:16" ht="15" customHeight="1">
      <c r="B21" s="132" t="s">
        <v>137</v>
      </c>
      <c r="C21" s="512">
        <f>'BW2-Field Act. Labor &amp; Mach.'!I12</f>
        <v>6.59605</v>
      </c>
      <c r="D21" s="520">
        <f>'BW2-Field Act. Labor &amp; Mach.'!K12</f>
        <v>3.7281613670297151</v>
      </c>
      <c r="E21" s="520">
        <f>'BW2-Field Act. Labor &amp; Mach.'!L12</f>
        <v>3.4161206017736747</v>
      </c>
      <c r="F21" s="526"/>
      <c r="G21" s="133"/>
      <c r="H21" s="465"/>
      <c r="I21" s="457"/>
      <c r="J21" s="5"/>
      <c r="K21" s="112"/>
      <c r="L21" s="112"/>
      <c r="M21" s="112"/>
      <c r="N21" s="118"/>
      <c r="O21" s="112"/>
      <c r="P21" s="112"/>
    </row>
    <row r="22" spans="2:16" ht="15" customHeight="1">
      <c r="B22" s="132" t="s">
        <v>12</v>
      </c>
      <c r="C22" s="512">
        <f>'BW2-Field Act. Labor &amp; Mach.'!I14</f>
        <v>10.55368</v>
      </c>
      <c r="D22" s="520">
        <f>'BW2-Field Act. Labor &amp; Mach.'!K14</f>
        <v>9.2140341759999984</v>
      </c>
      <c r="E22" s="520">
        <f>'BW2-Field Act. Labor &amp; Mach.'!L14</f>
        <v>29.935417361494395</v>
      </c>
      <c r="F22" s="526"/>
      <c r="G22" s="133"/>
      <c r="H22" s="463"/>
      <c r="I22" s="457"/>
      <c r="J22" s="5"/>
      <c r="K22" s="112"/>
      <c r="L22" s="112"/>
      <c r="M22" s="112"/>
      <c r="N22" s="112"/>
      <c r="O22" s="112"/>
      <c r="P22" s="112"/>
    </row>
    <row r="23" spans="2:16" ht="15" customHeight="1">
      <c r="B23" s="132" t="s">
        <v>144</v>
      </c>
      <c r="C23" s="512">
        <f>'BW2-Field Act. Labor &amp; Mach.'!I15</f>
        <v>59.364449999999998</v>
      </c>
      <c r="D23" s="520">
        <f>'BW2-Field Act. Labor &amp; Mach.'!K15</f>
        <v>11.732543673988348</v>
      </c>
      <c r="E23" s="520">
        <f>'BW2-Field Act. Labor &amp; Mach.'!L15</f>
        <v>19.938595491388046</v>
      </c>
      <c r="F23" s="526"/>
      <c r="G23" s="265"/>
      <c r="H23" s="463"/>
      <c r="I23" s="457"/>
      <c r="J23" s="5"/>
      <c r="K23" s="112"/>
      <c r="L23" s="112"/>
      <c r="M23" s="112"/>
      <c r="N23" s="112"/>
      <c r="O23" s="112"/>
      <c r="P23" s="112"/>
    </row>
    <row r="24" spans="2:16" ht="15" customHeight="1">
      <c r="B24" s="151" t="s">
        <v>313</v>
      </c>
      <c r="C24" s="512"/>
      <c r="D24" s="520"/>
      <c r="E24" s="520"/>
      <c r="F24" s="526">
        <f>'BW3-Variable Input'!C23</f>
        <v>125.09538461538463</v>
      </c>
      <c r="G24" s="133"/>
      <c r="H24" s="463"/>
      <c r="I24" s="457"/>
      <c r="J24" s="5"/>
      <c r="K24" s="118"/>
      <c r="L24" s="118"/>
      <c r="M24" s="118"/>
      <c r="N24" s="112"/>
      <c r="O24" s="112"/>
      <c r="P24" s="112"/>
    </row>
    <row r="25" spans="2:16" ht="15" customHeight="1">
      <c r="B25" s="416" t="s">
        <v>192</v>
      </c>
      <c r="C25" s="513">
        <f>'BW2-Field Act. Labor &amp; Mach.'!I16*2</f>
        <v>21.10736</v>
      </c>
      <c r="D25" s="521">
        <f>'BW2-Field Act. Labor &amp; Mach.'!K16*2</f>
        <v>12.051200395575469</v>
      </c>
      <c r="E25" s="521">
        <f>'BW2-Field Act. Labor &amp; Mach.'!L16*2</f>
        <v>17.332156747393537</v>
      </c>
      <c r="F25" s="527"/>
      <c r="G25" s="486"/>
      <c r="H25" s="485"/>
      <c r="I25" s="457"/>
      <c r="J25" s="5"/>
      <c r="K25" s="112"/>
      <c r="L25" s="112"/>
      <c r="M25" s="112"/>
      <c r="N25" s="112"/>
      <c r="O25" s="112"/>
      <c r="P25" s="112"/>
    </row>
    <row r="26" spans="2:16" ht="15" customHeight="1">
      <c r="B26" s="132"/>
      <c r="C26" s="133"/>
      <c r="D26" s="133"/>
      <c r="E26" s="133"/>
      <c r="F26" s="133"/>
      <c r="G26" s="133"/>
      <c r="H26" s="466"/>
      <c r="I26" s="457"/>
      <c r="J26" s="5"/>
      <c r="K26" s="112"/>
      <c r="L26" s="112"/>
      <c r="M26" s="112"/>
      <c r="N26" s="112"/>
      <c r="O26" s="112"/>
      <c r="P26" s="112"/>
    </row>
    <row r="27" spans="2:16" ht="15" customHeight="1">
      <c r="B27" s="921" t="s">
        <v>10</v>
      </c>
      <c r="C27" s="515"/>
      <c r="D27" s="438"/>
      <c r="E27" s="438"/>
      <c r="F27" s="529"/>
      <c r="G27" s="422"/>
      <c r="H27" s="494"/>
      <c r="I27" s="457"/>
      <c r="J27" s="5"/>
      <c r="K27" s="112"/>
      <c r="L27" s="112"/>
      <c r="M27" s="112"/>
      <c r="N27" s="112"/>
      <c r="O27" s="112"/>
      <c r="P27" s="112"/>
    </row>
    <row r="28" spans="2:16" ht="15" customHeight="1">
      <c r="B28" s="132" t="str">
        <f>'BW2-Field Act. Labor &amp; Mach.'!B21</f>
        <v>Transplant on bareground</v>
      </c>
      <c r="C28" s="516">
        <f>'BW2-Field Act. Labor &amp; Mach.'!I21</f>
        <v>237.45779999999999</v>
      </c>
      <c r="D28" s="520">
        <f>'BW2-Field Act. Labor &amp; Mach.'!K21</f>
        <v>36.893392063675897</v>
      </c>
      <c r="E28" s="520">
        <f>'BW2-Field Act. Labor &amp; Mach.'!L21</f>
        <v>114.11450861195542</v>
      </c>
      <c r="F28" s="526"/>
      <c r="G28" s="133"/>
      <c r="H28" s="463"/>
      <c r="I28" s="457"/>
      <c r="J28" s="5"/>
      <c r="K28" s="112"/>
      <c r="L28" s="112"/>
      <c r="M28" s="112"/>
      <c r="N28" s="112"/>
      <c r="O28" s="112"/>
      <c r="P28" s="112"/>
    </row>
    <row r="29" spans="2:16" ht="15" customHeight="1">
      <c r="B29" s="151" t="s">
        <v>685</v>
      </c>
      <c r="C29" s="512"/>
      <c r="D29" s="520"/>
      <c r="E29" s="520"/>
      <c r="F29" s="526">
        <f>'BW4-Transplant Production'!F11</f>
        <v>184.23333415384622</v>
      </c>
      <c r="G29" s="923" t="s">
        <v>720</v>
      </c>
      <c r="H29" s="463"/>
      <c r="I29" s="457"/>
      <c r="J29" s="110"/>
      <c r="K29" s="112"/>
      <c r="L29" s="112"/>
      <c r="M29" s="112"/>
      <c r="N29" s="112"/>
      <c r="O29" s="112"/>
      <c r="P29" s="112"/>
    </row>
    <row r="30" spans="2:16" ht="15" customHeight="1">
      <c r="B30" s="151" t="s">
        <v>683</v>
      </c>
      <c r="C30" s="512">
        <f>'BW4-Transplant Production'!D11</f>
        <v>312.88608252063312</v>
      </c>
      <c r="D30" s="520"/>
      <c r="E30" s="520"/>
      <c r="F30" s="526">
        <f>'BW4-Transplant Production'!E11</f>
        <v>182.73709542539859</v>
      </c>
      <c r="G30" s="923" t="s">
        <v>720</v>
      </c>
      <c r="H30" s="463"/>
      <c r="I30" s="457"/>
      <c r="J30" s="110"/>
      <c r="K30" s="112"/>
      <c r="L30" s="112"/>
      <c r="M30" s="112"/>
      <c r="N30" s="112"/>
      <c r="O30" s="112"/>
      <c r="P30" s="112"/>
    </row>
    <row r="31" spans="2:16" ht="15" customHeight="1">
      <c r="B31" s="418" t="s">
        <v>315</v>
      </c>
      <c r="C31" s="513"/>
      <c r="D31" s="521"/>
      <c r="E31" s="521"/>
      <c r="F31" s="527">
        <f>'BW3-Variable Input'!C11</f>
        <v>186</v>
      </c>
      <c r="G31" s="486"/>
      <c r="H31" s="485"/>
      <c r="I31" s="457"/>
      <c r="J31" s="110"/>
      <c r="K31" s="112"/>
      <c r="L31" s="112"/>
      <c r="M31" s="112"/>
      <c r="N31" s="112"/>
      <c r="O31" s="112"/>
      <c r="P31" s="112"/>
    </row>
    <row r="32" spans="2:16" ht="15" customHeight="1">
      <c r="B32" s="132"/>
      <c r="C32" s="133"/>
      <c r="D32" s="133"/>
      <c r="E32" s="133"/>
      <c r="F32" s="133"/>
      <c r="G32" s="133"/>
      <c r="H32" s="466"/>
      <c r="I32" s="457"/>
      <c r="J32" s="110"/>
      <c r="K32" s="112"/>
      <c r="L32" s="112"/>
      <c r="M32" s="112"/>
      <c r="N32" s="112"/>
      <c r="O32" s="112"/>
      <c r="P32" s="112"/>
    </row>
    <row r="33" spans="2:20" ht="15" customHeight="1">
      <c r="B33" s="921" t="s">
        <v>37</v>
      </c>
      <c r="C33" s="515"/>
      <c r="D33" s="438"/>
      <c r="E33" s="438"/>
      <c r="F33" s="529"/>
      <c r="G33" s="422"/>
      <c r="H33" s="494"/>
      <c r="I33" s="457"/>
      <c r="J33" s="110"/>
      <c r="K33" s="112"/>
      <c r="L33" s="112"/>
      <c r="M33" s="112"/>
      <c r="N33" s="112"/>
      <c r="O33" s="112"/>
      <c r="P33" s="112"/>
    </row>
    <row r="34" spans="2:20" ht="15" customHeight="1">
      <c r="B34" s="462" t="s">
        <v>179</v>
      </c>
      <c r="C34" s="512">
        <f>'BW2-Field Act. Labor &amp; Mach.'!$I$31*2</f>
        <v>10.55368</v>
      </c>
      <c r="D34" s="520">
        <f>'BW2-Field Act. Labor &amp; Mach.'!K31*2</f>
        <v>1.6570295666513035</v>
      </c>
      <c r="E34" s="520">
        <f>'BW2-Field Act. Labor &amp; Mach.'!L31*2</f>
        <v>27.363002680965153</v>
      </c>
      <c r="F34" s="526"/>
      <c r="G34" s="133"/>
      <c r="H34" s="133"/>
      <c r="I34" s="457"/>
      <c r="J34" s="110"/>
      <c r="K34" s="112"/>
      <c r="L34" s="118"/>
      <c r="M34" s="112"/>
      <c r="N34" s="112"/>
      <c r="O34" s="112"/>
      <c r="P34" s="112"/>
    </row>
    <row r="35" spans="2:20" ht="15" customHeight="1">
      <c r="B35" s="151" t="str">
        <f>'BW5-Irrigation'!$B$8</f>
        <v>Irrigation supply cost</v>
      </c>
      <c r="C35" s="512"/>
      <c r="D35" s="520"/>
      <c r="E35" s="520"/>
      <c r="F35" s="526">
        <f>'BW5-Irrigation'!$E$8</f>
        <v>32.773534158149545</v>
      </c>
      <c r="G35" s="1029" t="s">
        <v>851</v>
      </c>
      <c r="H35" s="133"/>
      <c r="I35" s="457"/>
      <c r="J35" s="110"/>
      <c r="K35" s="112"/>
      <c r="L35" s="118"/>
      <c r="M35" s="112"/>
      <c r="N35" s="112"/>
      <c r="O35" s="112"/>
      <c r="P35" s="112"/>
    </row>
    <row r="36" spans="2:20" ht="15" customHeight="1">
      <c r="B36" s="132" t="str">
        <f>'BW5-Irrigation'!$B$9</f>
        <v>Irrigation set-up labor cost</v>
      </c>
      <c r="C36" s="512">
        <f>'BW5-Irrigation'!$E$9</f>
        <v>50.735370890410955</v>
      </c>
      <c r="D36" s="520"/>
      <c r="E36" s="520"/>
      <c r="F36" s="526"/>
      <c r="G36" s="1029" t="s">
        <v>851</v>
      </c>
      <c r="H36" s="133"/>
      <c r="I36" s="457"/>
      <c r="J36" s="110"/>
      <c r="K36" s="112"/>
      <c r="L36" s="118"/>
      <c r="M36" s="112"/>
      <c r="N36" s="112"/>
      <c r="O36" s="112"/>
      <c r="P36" s="112"/>
    </row>
    <row r="37" spans="2:20" ht="15" customHeight="1">
      <c r="B37" s="132" t="s">
        <v>184</v>
      </c>
      <c r="C37" s="512">
        <f>'BW2-Field Act. Labor &amp; Mach.'!I39*'BW5-Irrigation'!C17</f>
        <v>126.64416</v>
      </c>
      <c r="D37" s="520"/>
      <c r="E37" s="520"/>
      <c r="F37" s="526"/>
      <c r="G37" s="133"/>
      <c r="H37" s="463"/>
      <c r="I37" s="236"/>
      <c r="J37" s="115"/>
      <c r="K37" s="118"/>
      <c r="L37" s="118"/>
      <c r="M37" s="118"/>
      <c r="N37" s="112"/>
      <c r="O37" s="112"/>
      <c r="P37" s="112"/>
    </row>
    <row r="38" spans="2:20" ht="15" customHeight="1">
      <c r="B38" s="462" t="str">
        <f>'BW2-Field Act. Labor &amp; Mach.'!$B$32</f>
        <v>Seed buckwheat on plot edge</v>
      </c>
      <c r="C38" s="512">
        <f>'BW2-Field Act. Labor &amp; Mach.'!$I$32</f>
        <v>6.59605</v>
      </c>
      <c r="D38" s="520">
        <f>'BW2-Field Act. Labor &amp; Mach.'!K32</f>
        <v>0.70423756582680397</v>
      </c>
      <c r="E38" s="520">
        <f>'BW2-Field Act. Labor &amp; Mach.'!L32</f>
        <v>11.629276139410191</v>
      </c>
      <c r="F38" s="526"/>
      <c r="G38" s="133"/>
      <c r="H38" s="463"/>
      <c r="I38" s="457"/>
      <c r="J38" s="115"/>
      <c r="K38" s="112"/>
      <c r="L38" s="118"/>
      <c r="M38" s="112"/>
      <c r="N38" s="112"/>
      <c r="O38" s="112"/>
      <c r="P38" s="112"/>
    </row>
    <row r="39" spans="2:20" ht="15" customHeight="1">
      <c r="B39" s="482" t="str">
        <f>'BW3-Variable Input'!$B$36</f>
        <v>Buckwheat seed for edge of field</v>
      </c>
      <c r="C39" s="512"/>
      <c r="D39" s="520"/>
      <c r="E39" s="520"/>
      <c r="F39" s="526">
        <f>'BW3-Variable Input'!$C$36</f>
        <v>8.8000000000000007</v>
      </c>
      <c r="G39" s="133"/>
      <c r="H39" s="463"/>
      <c r="I39" s="457"/>
      <c r="J39" s="115"/>
      <c r="K39" s="112"/>
      <c r="L39" s="118"/>
      <c r="M39" s="112"/>
      <c r="N39" s="112"/>
      <c r="O39" s="112"/>
      <c r="P39" s="112"/>
    </row>
    <row r="40" spans="2:20" ht="15" customHeight="1">
      <c r="B40" s="462" t="s">
        <v>194</v>
      </c>
      <c r="C40" s="512">
        <f>'BW2-Field Act. Labor &amp; Mach.'!$I$28*2</f>
        <v>21.10736</v>
      </c>
      <c r="D40" s="520">
        <f>'BW2-Field Act. Labor &amp; Mach.'!K28*2</f>
        <v>8.7132183142146751</v>
      </c>
      <c r="E40" s="520">
        <f>'BW2-Field Act. Labor &amp; Mach.'!L28*2</f>
        <v>23.101468332237562</v>
      </c>
      <c r="F40" s="526"/>
      <c r="G40" s="133"/>
      <c r="H40" s="463"/>
      <c r="I40" s="457"/>
      <c r="J40" s="115"/>
      <c r="K40" s="112"/>
      <c r="L40" s="118"/>
      <c r="M40" s="112"/>
      <c r="N40" s="112"/>
      <c r="O40" s="112"/>
      <c r="P40" s="112"/>
    </row>
    <row r="41" spans="2:20" ht="15" customHeight="1">
      <c r="B41" s="462" t="str">
        <f>'BW2-Field Act. Labor &amp; Mach.'!$B$34</f>
        <v>Scuffle hoe</v>
      </c>
      <c r="C41" s="512">
        <f>'BW2-Field Act. Labor &amp; Mach.'!$I$34</f>
        <v>98.940749999999994</v>
      </c>
      <c r="D41" s="520"/>
      <c r="E41" s="520"/>
      <c r="F41" s="526"/>
      <c r="G41" s="133"/>
      <c r="H41" s="463"/>
      <c r="I41" s="457"/>
      <c r="J41" s="115"/>
      <c r="K41" s="112"/>
      <c r="L41" s="118"/>
      <c r="M41" s="112"/>
      <c r="N41" s="112"/>
      <c r="O41" s="112"/>
      <c r="P41" s="112"/>
    </row>
    <row r="42" spans="2:20" ht="15" customHeight="1">
      <c r="B42" s="462" t="s">
        <v>180</v>
      </c>
      <c r="C42" s="512">
        <f>'BW2-Field Act. Labor &amp; Mach.'!$I$29*2</f>
        <v>63.32208</v>
      </c>
      <c r="D42" s="520">
        <f>'BW2-Field Act. Labor &amp; Mach.'!K29*2</f>
        <v>18.849340278005133</v>
      </c>
      <c r="E42" s="520">
        <f>'BW2-Field Act. Labor &amp; Mach.'!L29*2</f>
        <v>51.654848024316109</v>
      </c>
      <c r="F42" s="526"/>
      <c r="G42" s="133"/>
      <c r="H42" s="463"/>
      <c r="I42" s="457"/>
      <c r="J42" s="115"/>
      <c r="K42" s="112"/>
      <c r="L42" s="118"/>
      <c r="M42" s="112"/>
      <c r="N42" s="112"/>
      <c r="O42" s="112"/>
      <c r="P42" s="112"/>
    </row>
    <row r="43" spans="2:20" ht="15" customHeight="1">
      <c r="B43" s="462" t="str">
        <f>'BW2-Field Act. Labor &amp; Mach.'!$B$38</f>
        <v>Undersow clover</v>
      </c>
      <c r="C43" s="512">
        <f>'BW2-Field Act. Labor &amp; Mach.'!$I$38</f>
        <v>7.91526</v>
      </c>
      <c r="D43" s="520"/>
      <c r="E43" s="520"/>
      <c r="F43" s="526"/>
      <c r="G43" s="133"/>
      <c r="H43" s="133"/>
      <c r="I43" s="458"/>
      <c r="J43" s="110"/>
      <c r="K43" s="112"/>
      <c r="L43" s="118"/>
      <c r="M43" s="112"/>
      <c r="N43" s="112"/>
      <c r="O43" s="112"/>
      <c r="P43" s="112"/>
    </row>
    <row r="44" spans="2:20" ht="15" customHeight="1">
      <c r="B44" s="482" t="str">
        <f>'BW3-Variable Input'!$B$37</f>
        <v>Undersown medium red clover seed</v>
      </c>
      <c r="C44" s="512"/>
      <c r="D44" s="520"/>
      <c r="E44" s="520"/>
      <c r="F44" s="526">
        <f>'BW3-Variable Input'!$C$37</f>
        <v>35.200000000000003</v>
      </c>
      <c r="G44" s="133"/>
      <c r="H44" s="463"/>
      <c r="I44" s="458"/>
      <c r="J44" s="110"/>
      <c r="K44" s="112"/>
      <c r="L44" s="112"/>
      <c r="M44" s="113"/>
      <c r="N44" s="113"/>
      <c r="O44" s="113"/>
      <c r="P44" s="113"/>
      <c r="Q44" s="109"/>
    </row>
    <row r="45" spans="2:20" ht="15" customHeight="1">
      <c r="B45" s="462" t="s">
        <v>327</v>
      </c>
      <c r="C45" s="512">
        <f>'BW2-Field Act. Labor &amp; Mach.'!I37*4</f>
        <v>52.7684</v>
      </c>
      <c r="D45" s="520">
        <f>'BW2-Field Act. Labor &amp; Mach.'!K37*4</f>
        <v>40.728886581040129</v>
      </c>
      <c r="E45" s="520">
        <f>'BW2-Field Act. Labor &amp; Mach.'!L37*4</f>
        <v>52.41973239570433</v>
      </c>
      <c r="F45" s="526"/>
      <c r="G45" s="133"/>
      <c r="H45" s="463"/>
      <c r="I45" s="458"/>
      <c r="J45" s="115"/>
      <c r="K45" s="112"/>
      <c r="L45" s="118"/>
      <c r="M45" s="112"/>
      <c r="N45" s="112"/>
      <c r="O45" s="112"/>
      <c r="P45" s="112"/>
    </row>
    <row r="46" spans="2:20" ht="15" customHeight="1">
      <c r="B46" s="419" t="s">
        <v>501</v>
      </c>
      <c r="C46" s="513"/>
      <c r="D46" s="521"/>
      <c r="E46" s="521"/>
      <c r="F46" s="527">
        <f>'BW3-Variable Input'!C55</f>
        <v>79.532288700479015</v>
      </c>
      <c r="G46" s="489"/>
      <c r="H46" s="541"/>
      <c r="I46" s="483"/>
      <c r="J46" s="480"/>
      <c r="K46" s="228"/>
      <c r="L46"/>
      <c r="M46"/>
      <c r="N46"/>
      <c r="O46"/>
      <c r="P46"/>
      <c r="Q46"/>
      <c r="R46"/>
      <c r="S46"/>
      <c r="T46"/>
    </row>
    <row r="47" spans="2:20" s="453" customFormat="1" ht="15" customHeight="1">
      <c r="B47" s="824" t="s">
        <v>508</v>
      </c>
      <c r="C47" s="444">
        <f>SUM(C12:C14, C17:C25, C28:C31,C34:C46)</f>
        <v>1153.828243411044</v>
      </c>
      <c r="D47" s="444">
        <f>SUM(D12:D14, D17:D25, D28:D31,D34:D46)</f>
        <v>199.39602751951497</v>
      </c>
      <c r="E47" s="444">
        <f>SUM(E12:E14, E17:E25, E28:E31,E34:E46)</f>
        <v>440.56117954012706</v>
      </c>
      <c r="F47" s="444">
        <f>SUM(F12:F14, F17:F25, F28:F31,F34:F46)</f>
        <v>983.38497038659136</v>
      </c>
      <c r="G47" s="445" t="s">
        <v>4</v>
      </c>
      <c r="H47" s="446">
        <f>SUM(C47:F47)</f>
        <v>2777.1704208572773</v>
      </c>
      <c r="J47" s="117"/>
      <c r="K47" s="476"/>
      <c r="L47" s="476"/>
      <c r="M47" s="477"/>
      <c r="N47" s="477"/>
      <c r="O47" s="477"/>
      <c r="P47" s="477"/>
      <c r="Q47" s="475"/>
    </row>
    <row r="48" spans="2:20" s="120" customFormat="1" ht="15" customHeight="1">
      <c r="B48" s="593"/>
      <c r="C48" s="133"/>
      <c r="D48" s="133"/>
      <c r="E48" s="133"/>
      <c r="F48" s="133"/>
      <c r="G48" s="924"/>
      <c r="H48" s="265"/>
    </row>
    <row r="49" spans="2:17" s="119" customFormat="1" ht="15" customHeight="1">
      <c r="B49" s="116" t="s">
        <v>914</v>
      </c>
      <c r="C49" s="133"/>
      <c r="D49" s="133"/>
      <c r="E49" s="133"/>
      <c r="F49" s="133"/>
      <c r="G49" s="924"/>
      <c r="H49" s="265"/>
      <c r="J49" s="120"/>
    </row>
    <row r="50" spans="2:17" ht="15" customHeight="1">
      <c r="B50" s="921" t="s">
        <v>3</v>
      </c>
      <c r="C50" s="514"/>
      <c r="D50" s="522"/>
      <c r="E50" s="522"/>
      <c r="F50" s="528"/>
      <c r="G50" s="983"/>
      <c r="H50" s="491"/>
      <c r="J50" s="109"/>
      <c r="K50" s="118"/>
      <c r="L50" s="112"/>
      <c r="M50" s="111"/>
      <c r="N50" s="111"/>
      <c r="O50" s="111"/>
      <c r="P50" s="111"/>
      <c r="Q50" s="109"/>
    </row>
    <row r="51" spans="2:17" ht="15" customHeight="1">
      <c r="B51" s="132" t="s">
        <v>304</v>
      </c>
      <c r="C51" s="512">
        <f>'BW6-Harvest and Wash-Pack'!D14+'BW2-Field Act. Labor &amp; Mach.'!I55</f>
        <v>356.18670000000003</v>
      </c>
      <c r="D51" s="520">
        <f>'BW2-Field Act. Labor &amp; Mach.'!K55</f>
        <v>14.792442634536425</v>
      </c>
      <c r="E51" s="520">
        <f>'BW2-Field Act. Labor &amp; Mach.'!L55</f>
        <v>14.444040020263422</v>
      </c>
      <c r="F51" s="526"/>
      <c r="G51" s="1029" t="s">
        <v>852</v>
      </c>
      <c r="H51" s="265"/>
      <c r="J51" s="109"/>
      <c r="K51" s="118"/>
      <c r="L51" s="112"/>
      <c r="M51" s="113"/>
      <c r="N51" s="113"/>
      <c r="O51" s="113"/>
      <c r="P51" s="113"/>
      <c r="Q51" s="109"/>
    </row>
    <row r="52" spans="2:17" ht="14" customHeight="1">
      <c r="B52" s="416" t="s">
        <v>349</v>
      </c>
      <c r="C52" s="513">
        <f>'BW6-Harvest and Wash-Pack'!F14</f>
        <v>79.152600000000007</v>
      </c>
      <c r="D52" s="521"/>
      <c r="E52" s="521"/>
      <c r="F52" s="527"/>
      <c r="G52" s="1030" t="s">
        <v>852</v>
      </c>
      <c r="H52" s="492"/>
      <c r="J52" s="109"/>
      <c r="K52" s="118"/>
      <c r="L52" s="112"/>
      <c r="M52" s="113"/>
      <c r="N52" s="113"/>
      <c r="O52" s="113"/>
      <c r="P52" s="113"/>
      <c r="Q52" s="109"/>
    </row>
    <row r="53" spans="2:17" s="453" customFormat="1" ht="15" customHeight="1">
      <c r="B53" s="824" t="s">
        <v>508</v>
      </c>
      <c r="C53" s="444">
        <f>SUM(C51:C52)</f>
        <v>435.33930000000004</v>
      </c>
      <c r="D53" s="444">
        <f>SUM(D51:D52)</f>
        <v>14.792442634536425</v>
      </c>
      <c r="E53" s="444">
        <f>SUM(E51:E52)</f>
        <v>14.444040020263422</v>
      </c>
      <c r="F53" s="444">
        <f>SUM(F51:F52)</f>
        <v>0</v>
      </c>
      <c r="G53" s="445" t="s">
        <v>4</v>
      </c>
      <c r="H53" s="446">
        <f>SUM(C53:F53)</f>
        <v>464.57578265479987</v>
      </c>
      <c r="J53" s="117"/>
      <c r="K53" s="476"/>
      <c r="L53" s="476"/>
      <c r="M53" s="477"/>
      <c r="N53" s="477"/>
      <c r="O53" s="477"/>
      <c r="P53" s="477"/>
      <c r="Q53" s="475"/>
    </row>
    <row r="54" spans="2:17" s="120" customFormat="1" ht="15" customHeight="1">
      <c r="B54" s="593"/>
      <c r="C54" s="133"/>
      <c r="D54" s="133"/>
      <c r="E54" s="133"/>
      <c r="F54" s="133"/>
      <c r="G54" s="924"/>
      <c r="H54" s="265"/>
    </row>
    <row r="55" spans="2:17" s="119" customFormat="1" ht="15" customHeight="1">
      <c r="B55" s="116" t="s">
        <v>662</v>
      </c>
      <c r="C55" s="133"/>
      <c r="D55" s="133"/>
      <c r="E55" s="133"/>
      <c r="F55" s="133"/>
      <c r="G55" s="924"/>
      <c r="H55" s="265"/>
    </row>
    <row r="56" spans="2:17" ht="15" customHeight="1">
      <c r="B56" s="921" t="s">
        <v>663</v>
      </c>
      <c r="C56" s="515"/>
      <c r="D56" s="438"/>
      <c r="E56" s="438"/>
      <c r="F56" s="529"/>
      <c r="G56" s="494"/>
      <c r="H56" s="494"/>
      <c r="J56" s="110"/>
      <c r="K56" s="112"/>
      <c r="L56" s="112"/>
      <c r="M56" s="113"/>
      <c r="N56" s="113"/>
      <c r="O56" s="113"/>
      <c r="P56" s="113"/>
      <c r="Q56" s="109"/>
    </row>
    <row r="57" spans="2:17" ht="15" customHeight="1">
      <c r="B57" s="132" t="s">
        <v>42</v>
      </c>
      <c r="C57" s="512">
        <f>'BW2-Field Act. Labor &amp; Mach.'!$I$62</f>
        <v>10.55368</v>
      </c>
      <c r="D57" s="520">
        <f>'BW2-Field Act. Labor &amp; Mach.'!K62</f>
        <v>8.1859214566429603</v>
      </c>
      <c r="E57" s="520">
        <f>'BW2-Field Act. Labor &amp; Mach.'!L62</f>
        <v>7.508305016148265</v>
      </c>
      <c r="F57" s="526"/>
      <c r="G57" s="463"/>
      <c r="H57" s="463"/>
      <c r="J57" s="110"/>
      <c r="K57" s="112"/>
      <c r="L57" s="112"/>
      <c r="M57" s="113"/>
      <c r="N57" s="113"/>
      <c r="O57" s="113"/>
      <c r="P57" s="113"/>
      <c r="Q57" s="109"/>
    </row>
    <row r="58" spans="2:17" ht="15" customHeight="1">
      <c r="B58" s="132" t="s">
        <v>150</v>
      </c>
      <c r="C58" s="512">
        <f>'BW2-Field Act. Labor &amp; Mach.'!$I$65</f>
        <v>42.21472</v>
      </c>
      <c r="D58" s="520">
        <f>'BW2-Field Act. Labor &amp; Mach.'!K65</f>
        <v>3.4075700159999998</v>
      </c>
      <c r="E58" s="520">
        <f>'BW2-Field Act. Labor &amp; Mach.'!L65</f>
        <v>2.89283314099518</v>
      </c>
      <c r="F58" s="526"/>
      <c r="G58" s="463"/>
      <c r="H58" s="463"/>
      <c r="J58" s="115"/>
      <c r="K58" s="118"/>
      <c r="L58" s="112"/>
      <c r="M58" s="113"/>
      <c r="N58" s="113"/>
      <c r="O58" s="113"/>
      <c r="P58" s="113"/>
      <c r="Q58" s="109"/>
    </row>
    <row r="59" spans="2:17" ht="15" customHeight="1">
      <c r="B59" s="462" t="s">
        <v>43</v>
      </c>
      <c r="C59" s="512">
        <f>'BW2-Field Act. Labor &amp; Mach.'!$I$66</f>
        <v>5.27684</v>
      </c>
      <c r="D59" s="520">
        <f>'BW2-Field Act. Labor &amp; Mach.'!K66</f>
        <v>4.7393418269465482</v>
      </c>
      <c r="E59" s="520">
        <f>'BW2-Field Act. Labor &amp; Mach.'!L66</f>
        <v>4.8215303303156709</v>
      </c>
      <c r="F59" s="526"/>
      <c r="G59" s="463"/>
      <c r="H59" s="463"/>
      <c r="J59" s="110"/>
      <c r="K59" s="118"/>
      <c r="L59" s="112"/>
      <c r="M59" s="113"/>
      <c r="N59" s="113"/>
      <c r="O59" s="113"/>
      <c r="P59" s="113"/>
      <c r="Q59" s="109"/>
    </row>
    <row r="60" spans="2:17" ht="15" customHeight="1">
      <c r="B60" s="462" t="s">
        <v>44</v>
      </c>
      <c r="C60" s="512">
        <f>'BW2-Field Act. Labor &amp; Mach.'!$I$67</f>
        <v>5.27684</v>
      </c>
      <c r="D60" s="520">
        <f>'BW2-Field Act. Labor &amp; Mach.'!K67</f>
        <v>4.5754035882945541</v>
      </c>
      <c r="E60" s="520">
        <f>'BW2-Field Act. Labor &amp; Mach.'!L67</f>
        <v>8.7882358546602415</v>
      </c>
      <c r="F60" s="526"/>
      <c r="G60" s="463"/>
      <c r="H60" s="463"/>
      <c r="J60" s="110"/>
      <c r="K60" s="112"/>
      <c r="L60" s="112"/>
      <c r="M60" s="113"/>
      <c r="N60" s="113"/>
      <c r="O60" s="113"/>
      <c r="P60" s="113"/>
      <c r="Q60" s="109"/>
    </row>
    <row r="61" spans="2:17" ht="15" customHeight="1">
      <c r="B61" s="462" t="s">
        <v>45</v>
      </c>
      <c r="C61" s="512">
        <f>'BW2-Field Act. Labor &amp; Mach.'!$I$69</f>
        <v>14.511310000000002</v>
      </c>
      <c r="D61" s="520">
        <f>'BW2-Field Act. Labor &amp; Mach.'!K69</f>
        <v>5.9046727740142977</v>
      </c>
      <c r="E61" s="520">
        <f>'BW2-Field Act. Labor &amp; Mach.'!L69</f>
        <v>8.041581086300118</v>
      </c>
      <c r="F61" s="526"/>
      <c r="G61" s="463"/>
      <c r="H61" s="463"/>
      <c r="J61" s="110"/>
      <c r="K61" s="112"/>
      <c r="L61" s="112"/>
      <c r="M61" s="113"/>
      <c r="N61" s="113"/>
      <c r="O61" s="113"/>
      <c r="P61" s="113"/>
      <c r="Q61" s="109"/>
    </row>
    <row r="62" spans="2:17" ht="15" customHeight="1">
      <c r="B62" s="500" t="str">
        <f>'BW3-Variable Input'!$B$33</f>
        <v>Winter cover crop seed</v>
      </c>
      <c r="C62" s="513"/>
      <c r="D62" s="521"/>
      <c r="E62" s="521"/>
      <c r="F62" s="527">
        <f>'BW3-Variable Input'!$C$33</f>
        <v>31.793452380952385</v>
      </c>
      <c r="G62" s="485"/>
      <c r="H62" s="485"/>
      <c r="J62" s="115"/>
      <c r="K62" s="118"/>
      <c r="L62" s="112"/>
      <c r="M62" s="113"/>
      <c r="N62" s="113"/>
      <c r="O62" s="113"/>
      <c r="P62" s="113"/>
      <c r="Q62" s="109"/>
    </row>
    <row r="63" spans="2:17" s="453" customFormat="1" ht="15" customHeight="1">
      <c r="B63" s="824" t="s">
        <v>508</v>
      </c>
      <c r="C63" s="444">
        <f>SUM(C57:C62)</f>
        <v>77.833390000000009</v>
      </c>
      <c r="D63" s="444">
        <f>SUM(D57:D62)</f>
        <v>26.812909661898363</v>
      </c>
      <c r="E63" s="444">
        <f>SUM(E57:E62)</f>
        <v>32.052485428419473</v>
      </c>
      <c r="F63" s="444">
        <f>SUM(F57:F62)</f>
        <v>31.793452380952385</v>
      </c>
      <c r="G63" s="447" t="s">
        <v>4</v>
      </c>
      <c r="H63" s="446">
        <f>SUM(C63:F63)</f>
        <v>168.49223747127022</v>
      </c>
      <c r="J63" s="117"/>
      <c r="K63" s="476"/>
      <c r="L63" s="476"/>
      <c r="M63" s="478"/>
      <c r="N63" s="478"/>
      <c r="O63" s="478"/>
      <c r="P63" s="478"/>
      <c r="Q63" s="475"/>
    </row>
    <row r="64" spans="2:17" s="120" customFormat="1" ht="15" customHeight="1">
      <c r="B64" s="593"/>
      <c r="C64" s="133"/>
      <c r="D64" s="133"/>
      <c r="E64" s="133"/>
      <c r="F64" s="133"/>
      <c r="G64" s="463"/>
      <c r="H64" s="826"/>
      <c r="J64" s="115"/>
      <c r="K64" s="825"/>
      <c r="L64" s="127"/>
      <c r="M64" s="113"/>
      <c r="N64" s="113"/>
      <c r="O64" s="113"/>
      <c r="P64" s="113"/>
    </row>
    <row r="65" spans="2:17" s="453" customFormat="1" ht="15" customHeight="1">
      <c r="B65" s="116" t="s">
        <v>515</v>
      </c>
      <c r="C65" s="444">
        <f>C47+C53+C63</f>
        <v>1667.0009334110441</v>
      </c>
      <c r="D65" s="444">
        <f>D47+D53+D63</f>
        <v>241.00137981594978</v>
      </c>
      <c r="E65" s="444">
        <f>E47+E53+E63</f>
        <v>487.05770498880992</v>
      </c>
      <c r="F65" s="444">
        <f>F47+F53+F63</f>
        <v>1015.1784227675438</v>
      </c>
      <c r="G65" s="447" t="s">
        <v>4</v>
      </c>
      <c r="H65" s="446">
        <f>SUM(C65:F65)</f>
        <v>3410.2384409833476</v>
      </c>
      <c r="J65" s="117"/>
      <c r="K65" s="476"/>
      <c r="L65" s="476"/>
      <c r="M65" s="478"/>
      <c r="N65" s="478"/>
      <c r="O65" s="478"/>
      <c r="P65" s="478"/>
      <c r="Q65" s="475"/>
    </row>
    <row r="66" spans="2:17" ht="15" customHeight="1">
      <c r="B66" s="114"/>
      <c r="C66" s="133"/>
      <c r="D66" s="133"/>
      <c r="E66" s="133"/>
      <c r="F66" s="133"/>
      <c r="G66" s="463"/>
      <c r="H66" s="463"/>
      <c r="J66" s="110"/>
      <c r="K66" s="112"/>
      <c r="L66" s="112"/>
      <c r="M66" s="113"/>
      <c r="N66" s="113"/>
      <c r="O66" s="113"/>
      <c r="P66" s="113"/>
      <c r="Q66" s="109"/>
    </row>
    <row r="67" spans="2:17">
      <c r="B67" s="1032"/>
      <c r="C67" s="1033"/>
      <c r="D67" s="1033"/>
      <c r="E67" s="1033"/>
      <c r="F67" s="1033"/>
      <c r="G67" s="1033"/>
      <c r="H67" s="1033"/>
    </row>
    <row r="68" spans="2:17">
      <c r="B68" s="916"/>
      <c r="C68" s="916"/>
      <c r="D68" s="916"/>
      <c r="E68" s="916"/>
      <c r="F68" s="916"/>
      <c r="G68" s="916"/>
      <c r="H68" s="916"/>
    </row>
    <row r="69" spans="2:17">
      <c r="B69" s="116" t="s">
        <v>664</v>
      </c>
      <c r="C69" s="916"/>
      <c r="D69" s="916"/>
      <c r="E69" s="916"/>
      <c r="F69" s="916"/>
      <c r="G69" s="916"/>
      <c r="H69" s="916"/>
    </row>
    <row r="70" spans="2:17">
      <c r="B70" s="985" t="s">
        <v>668</v>
      </c>
      <c r="C70" s="916"/>
      <c r="D70" s="916"/>
      <c r="E70" s="916"/>
      <c r="F70" s="916"/>
      <c r="G70" s="916"/>
      <c r="H70" s="986">
        <f>C47+C63</f>
        <v>1231.661633411044</v>
      </c>
    </row>
    <row r="71" spans="2:17">
      <c r="B71" s="135" t="s">
        <v>667</v>
      </c>
      <c r="C71" s="916"/>
      <c r="D71" s="916"/>
      <c r="E71" s="916"/>
      <c r="F71" s="916"/>
      <c r="G71" s="916"/>
      <c r="H71" s="986">
        <f>D47+D63</f>
        <v>226.20893718141335</v>
      </c>
    </row>
    <row r="72" spans="2:17" ht="15" customHeight="1">
      <c r="B72" s="985" t="s">
        <v>669</v>
      </c>
      <c r="C72" s="1002"/>
      <c r="D72" s="133"/>
      <c r="E72" s="133"/>
      <c r="F72" s="132"/>
      <c r="G72" s="442"/>
      <c r="H72" s="463">
        <f>F47+F63</f>
        <v>1015.1784227675438</v>
      </c>
      <c r="I72" s="115"/>
      <c r="J72" s="118"/>
      <c r="K72" s="112"/>
      <c r="L72" s="113"/>
      <c r="M72" s="113"/>
      <c r="N72" s="113"/>
      <c r="O72" s="113"/>
      <c r="P72" s="109"/>
    </row>
    <row r="73" spans="2:17" ht="15" customHeight="1">
      <c r="B73" s="831" t="s">
        <v>666</v>
      </c>
      <c r="C73" s="469"/>
      <c r="D73" s="133"/>
      <c r="E73" s="444"/>
      <c r="F73" s="464"/>
      <c r="G73" s="442"/>
      <c r="H73" s="848">
        <f>SUM(H70:H72)</f>
        <v>2473.0489933600011</v>
      </c>
      <c r="I73" s="115"/>
      <c r="J73" s="118"/>
      <c r="K73" s="112"/>
      <c r="L73" s="113"/>
      <c r="M73" s="113"/>
      <c r="N73" s="113"/>
      <c r="O73" s="113"/>
      <c r="P73" s="109"/>
    </row>
    <row r="74" spans="2:17" ht="15" customHeight="1">
      <c r="B74" s="985" t="s">
        <v>680</v>
      </c>
      <c r="C74" s="469"/>
      <c r="D74" s="469"/>
      <c r="E74" s="592"/>
      <c r="F74" s="464"/>
      <c r="G74" s="442"/>
      <c r="H74" s="463">
        <f>C53</f>
        <v>435.33930000000004</v>
      </c>
      <c r="I74" s="400"/>
      <c r="J74" s="112"/>
      <c r="K74" s="112"/>
      <c r="L74" s="113"/>
      <c r="M74" s="113"/>
      <c r="N74" s="113"/>
      <c r="O74" s="113"/>
      <c r="P74" s="109"/>
    </row>
    <row r="75" spans="2:17" ht="15" customHeight="1">
      <c r="B75" s="985" t="s">
        <v>445</v>
      </c>
      <c r="C75" s="469"/>
      <c r="D75" s="469"/>
      <c r="E75" s="469"/>
      <c r="F75" s="132"/>
      <c r="G75" s="442"/>
      <c r="H75" s="463">
        <f>D53</f>
        <v>14.792442634536425</v>
      </c>
      <c r="I75" s="400"/>
      <c r="J75" s="112"/>
      <c r="K75" s="112"/>
      <c r="L75" s="113"/>
      <c r="M75" s="113"/>
      <c r="N75" s="113"/>
      <c r="O75" s="113"/>
      <c r="P75" s="109"/>
    </row>
    <row r="76" spans="2:17" ht="15" customHeight="1">
      <c r="B76" s="985" t="s">
        <v>670</v>
      </c>
      <c r="C76" s="469"/>
      <c r="D76" s="469"/>
      <c r="E76" s="469"/>
      <c r="F76" s="132"/>
      <c r="G76" s="442"/>
      <c r="H76" s="463">
        <f>F53</f>
        <v>0</v>
      </c>
      <c r="I76" s="400"/>
      <c r="J76" s="112"/>
      <c r="K76" s="112"/>
      <c r="L76" s="113"/>
      <c r="M76" s="113"/>
      <c r="N76" s="113"/>
      <c r="O76" s="113"/>
      <c r="P76" s="109"/>
    </row>
    <row r="77" spans="2:17" ht="15" customHeight="1">
      <c r="B77" s="831" t="s">
        <v>671</v>
      </c>
      <c r="C77" s="43"/>
      <c r="D77" s="43"/>
      <c r="E77" s="832"/>
      <c r="F77" s="43"/>
      <c r="G77" s="43"/>
      <c r="H77" s="598">
        <f>SUM(H74:H76)</f>
        <v>450.13174263453647</v>
      </c>
      <c r="I77" s="400"/>
      <c r="J77" s="112"/>
      <c r="K77" s="112"/>
      <c r="L77" s="113"/>
      <c r="M77" s="113"/>
      <c r="N77" s="113"/>
      <c r="O77" s="113"/>
      <c r="P77" s="109"/>
    </row>
    <row r="78" spans="2:17" ht="15" customHeight="1">
      <c r="B78" s="833" t="s">
        <v>513</v>
      </c>
      <c r="C78" s="919"/>
      <c r="D78" s="919"/>
      <c r="E78" s="987"/>
      <c r="F78" s="988"/>
      <c r="G78" s="919"/>
      <c r="H78" s="818">
        <f>H73+H77</f>
        <v>2923.1807359945374</v>
      </c>
      <c r="I78" s="400"/>
      <c r="J78" s="112"/>
      <c r="K78" s="112"/>
      <c r="L78" s="113"/>
      <c r="M78" s="113"/>
      <c r="N78" s="113"/>
      <c r="O78" s="113"/>
      <c r="P78" s="109"/>
    </row>
    <row r="79" spans="2:17" ht="15" customHeight="1">
      <c r="B79" s="985" t="s">
        <v>672</v>
      </c>
      <c r="C79" s="135"/>
      <c r="D79" s="135"/>
      <c r="E79" s="472"/>
      <c r="F79" s="135"/>
      <c r="G79" s="135"/>
      <c r="H79" s="989">
        <f>E47+E63</f>
        <v>472.61366496854652</v>
      </c>
      <c r="I79" s="400"/>
      <c r="J79" s="112"/>
      <c r="K79" s="112"/>
      <c r="L79" s="113"/>
      <c r="M79" s="113"/>
      <c r="N79" s="113"/>
      <c r="O79" s="113"/>
      <c r="P79" s="109"/>
    </row>
    <row r="80" spans="2:17" ht="15" customHeight="1">
      <c r="B80" s="985" t="s">
        <v>673</v>
      </c>
      <c r="C80" s="135"/>
      <c r="D80" s="135"/>
      <c r="E80" s="472"/>
      <c r="F80" s="135"/>
      <c r="G80" s="135"/>
      <c r="H80" s="990">
        <f>E53</f>
        <v>14.444040020263422</v>
      </c>
      <c r="I80" s="400"/>
      <c r="J80" s="112"/>
      <c r="K80" s="112"/>
      <c r="L80" s="113"/>
      <c r="M80" s="113"/>
      <c r="N80" s="113"/>
      <c r="O80" s="113"/>
      <c r="P80" s="109"/>
    </row>
    <row r="81" spans="2:16" ht="15" customHeight="1">
      <c r="B81" s="837" t="s">
        <v>514</v>
      </c>
      <c r="C81" s="919"/>
      <c r="D81" s="919"/>
      <c r="E81" s="987"/>
      <c r="F81" s="988"/>
      <c r="G81" s="919"/>
      <c r="H81" s="819">
        <f>H79+H80</f>
        <v>487.05770498880992</v>
      </c>
      <c r="I81" s="400"/>
      <c r="J81" s="112"/>
      <c r="K81" s="112"/>
      <c r="L81" s="113"/>
      <c r="M81" s="113"/>
      <c r="N81" s="113"/>
      <c r="O81" s="113"/>
      <c r="P81" s="109"/>
    </row>
    <row r="82" spans="2:16" ht="15" customHeight="1">
      <c r="B82" s="916"/>
      <c r="C82" s="469"/>
      <c r="D82" s="133"/>
      <c r="E82" s="469"/>
      <c r="F82" s="132"/>
      <c r="G82" s="442"/>
      <c r="H82" s="442"/>
      <c r="I82" s="400"/>
      <c r="J82" s="112"/>
      <c r="K82" s="112"/>
      <c r="L82" s="113"/>
      <c r="M82" s="113"/>
      <c r="N82" s="113"/>
      <c r="O82" s="113"/>
      <c r="P82" s="109"/>
    </row>
    <row r="83" spans="2:16" ht="15" customHeight="1">
      <c r="B83" s="264"/>
      <c r="C83" s="402"/>
      <c r="D83" s="242"/>
      <c r="E83" s="402"/>
      <c r="F83" s="400"/>
      <c r="G83" s="400"/>
      <c r="H83" s="443"/>
      <c r="I83" s="400"/>
      <c r="J83" s="112"/>
      <c r="K83" s="112"/>
      <c r="L83" s="113"/>
      <c r="M83" s="113"/>
      <c r="N83" s="113"/>
      <c r="O83" s="113"/>
      <c r="P83" s="109"/>
    </row>
    <row r="84" spans="2:16">
      <c r="B84" s="400"/>
      <c r="C84" s="402"/>
      <c r="D84" s="402"/>
      <c r="E84" s="402"/>
      <c r="F84" s="400"/>
      <c r="G84" s="443"/>
      <c r="H84" s="443"/>
      <c r="I84" s="400"/>
      <c r="J84" s="112"/>
      <c r="K84" s="112"/>
      <c r="L84" s="111"/>
      <c r="M84" s="111"/>
      <c r="N84" s="111"/>
      <c r="O84" s="111"/>
      <c r="P84"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T80"/>
  <sheetViews>
    <sheetView showGridLines="0" view="pageLayout" topLeftCell="A33" workbookViewId="0">
      <selection activeCell="B43" sqref="B43"/>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14.7109375" style="108" customWidth="1"/>
    <col min="11" max="11" width="8.42578125" style="108" customWidth="1"/>
    <col min="12" max="12" width="6.85546875" style="108" customWidth="1"/>
    <col min="13" max="13" width="14.42578125" style="108" customWidth="1"/>
    <col min="14" max="15" width="8.7109375" style="108"/>
    <col min="16" max="16" width="12.42578125" style="108" customWidth="1"/>
    <col min="17" max="19" width="8.7109375" style="108"/>
    <col min="20" max="20" width="11.5703125" style="108" customWidth="1"/>
    <col min="21" max="16384" width="8.7109375" style="108"/>
  </cols>
  <sheetData>
    <row r="1" spans="2:20" ht="16" thickBot="1">
      <c r="F1" s="563"/>
      <c r="G1" s="1263" t="s">
        <v>512</v>
      </c>
      <c r="H1" s="1264"/>
    </row>
    <row r="2" spans="2:20" ht="25" customHeight="1">
      <c r="B2" s="1024" t="str">
        <f>'Workbook Index'!B33</f>
        <v>Chard, Swiss</v>
      </c>
      <c r="C2" s="221"/>
      <c r="D2" s="221"/>
      <c r="E2" s="221"/>
      <c r="I2" s="564"/>
      <c r="J2" s="120"/>
      <c r="K2" s="120"/>
      <c r="L2" s="120"/>
      <c r="M2" s="109"/>
      <c r="N2" s="109"/>
      <c r="O2" s="109"/>
    </row>
    <row r="3" spans="2:20" ht="33.5" customHeight="1">
      <c r="B3" s="1027" t="s">
        <v>716</v>
      </c>
      <c r="C3" s="132" t="s">
        <v>367</v>
      </c>
      <c r="E3" s="222" t="s">
        <v>14</v>
      </c>
      <c r="F3"/>
      <c r="G3"/>
      <c r="H3"/>
      <c r="I3" s="130"/>
      <c r="J3" s="226"/>
      <c r="K3" s="226"/>
      <c r="L3" s="226"/>
      <c r="M3" s="109"/>
      <c r="N3" s="117"/>
      <c r="O3" s="129"/>
      <c r="P3" s="112"/>
      <c r="Q3" s="112"/>
      <c r="R3" s="112"/>
      <c r="S3" s="112"/>
      <c r="T3" s="112"/>
    </row>
    <row r="4" spans="2:20">
      <c r="B4" s="918"/>
      <c r="C4" s="132" t="s">
        <v>47</v>
      </c>
      <c r="D4" s="916"/>
      <c r="E4" s="1067">
        <f>'BW1-Bed and Row Spacing'!J15</f>
        <v>6701.5384615384619</v>
      </c>
      <c r="F4" s="135"/>
      <c r="G4" s="135"/>
      <c r="H4" s="135"/>
      <c r="I4" s="130"/>
      <c r="J4" s="226"/>
      <c r="K4" s="226"/>
      <c r="L4" s="226"/>
      <c r="M4" s="109"/>
      <c r="N4" s="110"/>
      <c r="O4" s="111"/>
      <c r="P4" s="112"/>
      <c r="Q4" s="112"/>
      <c r="R4" s="112"/>
      <c r="S4" s="112"/>
      <c r="T4" s="112"/>
    </row>
    <row r="5" spans="2:20">
      <c r="B5" s="915"/>
      <c r="C5" s="132" t="s">
        <v>366</v>
      </c>
      <c r="D5" s="916"/>
      <c r="E5" s="1338" t="s">
        <v>819</v>
      </c>
      <c r="F5" s="1338"/>
      <c r="G5" s="1338"/>
      <c r="H5" s="1338"/>
      <c r="I5" s="224"/>
      <c r="J5" s="225"/>
      <c r="K5" s="225"/>
      <c r="L5" s="225"/>
      <c r="M5" s="127"/>
      <c r="N5" s="110"/>
      <c r="O5" s="111"/>
      <c r="P5" s="112"/>
      <c r="Q5" s="112"/>
      <c r="R5" s="112"/>
      <c r="S5" s="112"/>
      <c r="T5" s="112"/>
    </row>
    <row r="6" spans="2:20">
      <c r="B6" s="223"/>
      <c r="C6" s="915"/>
      <c r="D6" s="916"/>
      <c r="E6" s="1338"/>
      <c r="F6" s="1338"/>
      <c r="G6" s="1338"/>
      <c r="H6" s="1338"/>
      <c r="I6" s="225"/>
      <c r="J6" s="225"/>
      <c r="K6" s="225"/>
      <c r="L6" s="225"/>
      <c r="M6" s="112"/>
      <c r="N6" s="112"/>
      <c r="O6" s="112"/>
      <c r="P6" s="112"/>
      <c r="Q6" s="112"/>
    </row>
    <row r="7" spans="2:20">
      <c r="B7" s="1032"/>
      <c r="C7" s="1033"/>
      <c r="D7" s="1033"/>
      <c r="E7" s="1033"/>
      <c r="F7" s="1033"/>
      <c r="G7" s="1033"/>
      <c r="H7" s="1033"/>
    </row>
    <row r="8" spans="2:20">
      <c r="B8" s="553" t="s">
        <v>517</v>
      </c>
      <c r="C8" s="492"/>
      <c r="D8" s="492"/>
      <c r="E8" s="492"/>
      <c r="F8" s="492"/>
      <c r="G8" s="492"/>
      <c r="H8" s="492"/>
      <c r="I8" s="109"/>
    </row>
    <row r="9" spans="2:20" customFormat="1" ht="33" customHeight="1">
      <c r="B9" s="420" t="s">
        <v>711</v>
      </c>
      <c r="C9" s="421" t="s">
        <v>707</v>
      </c>
      <c r="D9" s="421" t="s">
        <v>708</v>
      </c>
      <c r="E9" s="421" t="s">
        <v>709</v>
      </c>
      <c r="F9" s="421" t="s">
        <v>710</v>
      </c>
      <c r="G9" s="919"/>
      <c r="H9" s="920"/>
      <c r="M9" s="112"/>
      <c r="N9" s="112"/>
      <c r="O9" s="112"/>
      <c r="P9" s="6"/>
      <c r="Q9" s="6"/>
    </row>
    <row r="10" spans="2:20" customFormat="1" ht="30">
      <c r="B10" s="993" t="s">
        <v>516</v>
      </c>
      <c r="C10" s="991" t="s">
        <v>849</v>
      </c>
      <c r="D10" s="991" t="s">
        <v>849</v>
      </c>
      <c r="E10" s="991" t="s">
        <v>849</v>
      </c>
      <c r="F10" s="991" t="s">
        <v>850</v>
      </c>
      <c r="G10" s="992"/>
      <c r="H10" s="462"/>
      <c r="M10" s="112"/>
      <c r="N10" s="112"/>
      <c r="O10" s="6"/>
      <c r="P10" s="6"/>
    </row>
    <row r="11" spans="2:20">
      <c r="B11" s="921" t="s">
        <v>298</v>
      </c>
      <c r="C11" s="511"/>
      <c r="D11" s="519"/>
      <c r="E11" s="519"/>
      <c r="F11" s="525"/>
      <c r="G11" s="1335" t="s">
        <v>705</v>
      </c>
      <c r="H11" s="1335"/>
      <c r="I11" s="404"/>
      <c r="J11" s="121"/>
      <c r="K11" s="110"/>
      <c r="L11" s="121"/>
      <c r="M11" s="112"/>
      <c r="N11" s="112"/>
      <c r="O11" s="112"/>
      <c r="P11" s="112"/>
      <c r="Q11" s="112"/>
    </row>
    <row r="12" spans="2:20">
      <c r="B12" s="265" t="s">
        <v>145</v>
      </c>
      <c r="C12" s="512">
        <f>('BW2-Field Act. Labor &amp; Mach.'!$I$9)/2</f>
        <v>4.617235</v>
      </c>
      <c r="D12" s="520">
        <f>('BW2-Field Act. Labor &amp; Mach.'!K9)/2</f>
        <v>3.5813406372812948</v>
      </c>
      <c r="E12" s="520">
        <f>('BW2-Field Act. Labor &amp; Mach.'!L9)/2</f>
        <v>3.2848834445648656</v>
      </c>
      <c r="F12" s="526"/>
      <c r="G12" s="1336"/>
      <c r="H12" s="1336"/>
      <c r="I12" s="404"/>
      <c r="J12" s="121"/>
      <c r="K12" s="110"/>
      <c r="L12" s="121"/>
      <c r="M12" s="112"/>
      <c r="N12" s="112"/>
      <c r="O12" s="112"/>
      <c r="P12" s="112"/>
      <c r="Q12" s="112"/>
    </row>
    <row r="13" spans="2:20">
      <c r="B13" s="462" t="s">
        <v>45</v>
      </c>
      <c r="C13" s="512">
        <f>('BW2-Field Act. Labor &amp; Mach.'!$I$69)/2</f>
        <v>7.2556550000000009</v>
      </c>
      <c r="D13" s="520">
        <f>('BW2-Field Act. Labor &amp; Mach.'!K69)/2</f>
        <v>2.9523363870071488</v>
      </c>
      <c r="E13" s="520">
        <f>('BW2-Field Act. Labor &amp; Mach.'!L69)/2</f>
        <v>4.020790543150059</v>
      </c>
      <c r="F13" s="526"/>
      <c r="G13" s="1336"/>
      <c r="H13" s="1336"/>
      <c r="I13" s="404"/>
      <c r="J13" s="121"/>
      <c r="K13" s="110"/>
      <c r="L13" s="121"/>
      <c r="M13" s="112"/>
      <c r="N13" s="112"/>
      <c r="O13" s="112"/>
      <c r="P13" s="112"/>
      <c r="Q13" s="112"/>
    </row>
    <row r="14" spans="2:20">
      <c r="B14" s="500" t="str">
        <f>'BW3-Variable Input'!$B$34</f>
        <v>Summer cover crop seed</v>
      </c>
      <c r="C14" s="513"/>
      <c r="D14" s="521"/>
      <c r="E14" s="521"/>
      <c r="F14" s="527">
        <f>('BW3-Variable Input'!$C$34)/2</f>
        <v>16.173333333333336</v>
      </c>
      <c r="G14" s="1337"/>
      <c r="H14" s="1337"/>
      <c r="I14" s="404"/>
      <c r="J14" s="121"/>
      <c r="K14" s="110"/>
      <c r="L14" s="121"/>
      <c r="M14" s="112"/>
      <c r="N14" s="112"/>
      <c r="O14" s="112"/>
      <c r="P14" s="112"/>
      <c r="Q14" s="112"/>
    </row>
    <row r="15" spans="2:20">
      <c r="B15" s="264"/>
      <c r="C15" s="456"/>
      <c r="D15" s="456"/>
      <c r="E15" s="456"/>
      <c r="F15" s="456"/>
      <c r="G15" s="455"/>
      <c r="H15" s="464"/>
      <c r="I15" s="404"/>
      <c r="J15" s="121"/>
      <c r="K15" s="110"/>
      <c r="L15" s="121"/>
      <c r="M15" s="112"/>
      <c r="N15" s="112"/>
      <c r="O15" s="112"/>
      <c r="P15" s="112"/>
      <c r="Q15" s="112"/>
    </row>
    <row r="16" spans="2:20" ht="15" customHeight="1">
      <c r="B16" s="922" t="s">
        <v>181</v>
      </c>
      <c r="C16" s="514"/>
      <c r="D16" s="522"/>
      <c r="E16" s="522"/>
      <c r="F16" s="528"/>
      <c r="G16" s="509"/>
      <c r="H16" s="509"/>
      <c r="I16" s="404"/>
      <c r="J16" s="110"/>
      <c r="K16" s="118"/>
      <c r="L16" s="112"/>
      <c r="M16" s="112"/>
      <c r="N16" s="112"/>
      <c r="O16" s="112"/>
      <c r="P16" s="112"/>
    </row>
    <row r="17" spans="2:16" ht="15" customHeight="1">
      <c r="B17" s="265" t="s">
        <v>307</v>
      </c>
      <c r="C17" s="512">
        <f>'BW2-Field Act. Labor &amp; Mach.'!I9</f>
        <v>9.23447</v>
      </c>
      <c r="D17" s="520">
        <f>'BW2-Field Act. Labor &amp; Mach.'!K9</f>
        <v>7.1626812745625896</v>
      </c>
      <c r="E17" s="520">
        <f>'BW2-Field Act. Labor &amp; Mach.'!L9</f>
        <v>6.5697668891297312</v>
      </c>
      <c r="F17" s="526"/>
      <c r="G17" s="465"/>
      <c r="H17" s="465"/>
      <c r="I17" s="466"/>
      <c r="J17" s="5"/>
      <c r="K17" s="112"/>
      <c r="L17" s="118"/>
      <c r="M17" s="118"/>
      <c r="N17" s="112"/>
      <c r="O17" s="112"/>
      <c r="P17" s="112"/>
    </row>
    <row r="18" spans="2:16" ht="15" customHeight="1">
      <c r="B18" s="132" t="s">
        <v>46</v>
      </c>
      <c r="C18" s="512">
        <f>'BW2-Field Act. Labor &amp; Mach.'!I10</f>
        <v>11.87289</v>
      </c>
      <c r="D18" s="520">
        <f>'BW2-Field Act. Labor &amp; Mach.'!K10</f>
        <v>16.900081383311999</v>
      </c>
      <c r="E18" s="520">
        <f>'BW2-Field Act. Labor &amp; Mach.'!L10</f>
        <v>23.703168100043012</v>
      </c>
      <c r="F18" s="526"/>
      <c r="G18" s="133"/>
      <c r="H18" s="465"/>
      <c r="I18" s="466"/>
      <c r="J18" s="5"/>
      <c r="K18" s="112"/>
      <c r="L18" s="112"/>
      <c r="M18" s="112"/>
      <c r="N18" s="118"/>
      <c r="O18" s="112"/>
      <c r="P18" s="112"/>
    </row>
    <row r="19" spans="2:16" ht="15" customHeight="1">
      <c r="B19" s="151" t="s">
        <v>69</v>
      </c>
      <c r="C19" s="512"/>
      <c r="D19" s="520"/>
      <c r="E19" s="520"/>
      <c r="F19" s="526">
        <f>'BW3-Variable Input'!C9</f>
        <v>116.66666666666667</v>
      </c>
      <c r="G19" s="133"/>
      <c r="H19" s="465"/>
      <c r="I19" s="466"/>
      <c r="J19" s="5"/>
      <c r="K19" s="112"/>
      <c r="L19" s="112"/>
      <c r="M19" s="112"/>
      <c r="N19" s="118"/>
      <c r="O19" s="112"/>
      <c r="P19" s="112"/>
    </row>
    <row r="20" spans="2:16" ht="15" customHeight="1">
      <c r="B20" s="132" t="s">
        <v>11</v>
      </c>
      <c r="C20" s="512">
        <f>'BW2-Field Act. Labor &amp; Mach.'!I13</f>
        <v>22.426569999999998</v>
      </c>
      <c r="D20" s="520">
        <f>'BW2-Field Act. Labor &amp; Mach.'!K13</f>
        <v>17.993866831056</v>
      </c>
      <c r="E20" s="520">
        <f>'BW2-Field Act. Labor &amp; Mach.'!L13</f>
        <v>44.771770188886023</v>
      </c>
      <c r="F20" s="526"/>
      <c r="G20" s="133"/>
      <c r="H20" s="463"/>
      <c r="I20" s="466"/>
      <c r="J20" s="5"/>
      <c r="K20" s="112"/>
      <c r="L20" s="112"/>
      <c r="M20" s="112"/>
      <c r="N20" s="118"/>
      <c r="O20" s="112"/>
      <c r="P20" s="112"/>
    </row>
    <row r="21" spans="2:16" ht="15" customHeight="1">
      <c r="B21" s="132" t="s">
        <v>12</v>
      </c>
      <c r="C21" s="512">
        <f>'BW2-Field Act. Labor &amp; Mach.'!I14</f>
        <v>10.55368</v>
      </c>
      <c r="D21" s="520">
        <f>'BW2-Field Act. Labor &amp; Mach.'!K14</f>
        <v>9.2140341759999984</v>
      </c>
      <c r="E21" s="520">
        <f>'BW2-Field Act. Labor &amp; Mach.'!L14</f>
        <v>29.935417361494395</v>
      </c>
      <c r="F21" s="526"/>
      <c r="G21" s="133"/>
      <c r="H21" s="463"/>
      <c r="I21" s="466"/>
      <c r="J21" s="5"/>
      <c r="K21" s="112"/>
      <c r="L21" s="112"/>
      <c r="M21" s="112"/>
      <c r="N21" s="112"/>
      <c r="O21" s="112"/>
      <c r="P21" s="112"/>
    </row>
    <row r="22" spans="2:16" ht="15" customHeight="1">
      <c r="B22" s="132" t="s">
        <v>144</v>
      </c>
      <c r="C22" s="512">
        <f>'BW2-Field Act. Labor &amp; Mach.'!I15</f>
        <v>59.364449999999998</v>
      </c>
      <c r="D22" s="520">
        <f>'BW2-Field Act. Labor &amp; Mach.'!K15</f>
        <v>11.732543673988348</v>
      </c>
      <c r="E22" s="520">
        <f>'BW2-Field Act. Labor &amp; Mach.'!L15</f>
        <v>19.938595491388046</v>
      </c>
      <c r="F22" s="526"/>
      <c r="G22" s="265"/>
      <c r="H22" s="463"/>
      <c r="I22" s="466"/>
      <c r="J22" s="5"/>
      <c r="K22" s="112"/>
      <c r="L22" s="112"/>
      <c r="M22" s="112"/>
      <c r="N22" s="112"/>
      <c r="O22" s="112"/>
      <c r="P22" s="112"/>
    </row>
    <row r="23" spans="2:16" ht="15" customHeight="1">
      <c r="B23" s="151" t="s">
        <v>313</v>
      </c>
      <c r="C23" s="512"/>
      <c r="D23" s="520"/>
      <c r="E23" s="520"/>
      <c r="F23" s="526">
        <f>'BW3-Variable Input'!C23</f>
        <v>125.09538461538463</v>
      </c>
      <c r="G23" s="133"/>
      <c r="H23" s="463"/>
      <c r="I23" s="466"/>
      <c r="J23" s="5"/>
      <c r="K23" s="112"/>
      <c r="L23" s="112"/>
      <c r="M23" s="112"/>
      <c r="N23" s="112"/>
      <c r="O23" s="112"/>
      <c r="P23" s="112"/>
    </row>
    <row r="24" spans="2:16" ht="15" customHeight="1">
      <c r="B24" s="416" t="s">
        <v>192</v>
      </c>
      <c r="C24" s="513">
        <f>'BW2-Field Act. Labor &amp; Mach.'!I16*2</f>
        <v>21.10736</v>
      </c>
      <c r="D24" s="521">
        <f>'BW2-Field Act. Labor &amp; Mach.'!K16*2</f>
        <v>12.051200395575469</v>
      </c>
      <c r="E24" s="521">
        <f>'BW2-Field Act. Labor &amp; Mach.'!L16*2</f>
        <v>17.332156747393537</v>
      </c>
      <c r="F24" s="527"/>
      <c r="G24" s="486"/>
      <c r="H24" s="485"/>
      <c r="I24" s="466"/>
      <c r="J24" s="5"/>
      <c r="K24" s="112"/>
      <c r="L24" s="112"/>
      <c r="M24" s="112"/>
      <c r="N24" s="112"/>
      <c r="O24" s="112"/>
      <c r="P24" s="112"/>
    </row>
    <row r="25" spans="2:16" ht="15" customHeight="1">
      <c r="B25" s="132"/>
      <c r="C25" s="133"/>
      <c r="D25" s="133"/>
      <c r="E25" s="133"/>
      <c r="F25" s="133"/>
      <c r="G25" s="133"/>
      <c r="H25" s="466"/>
      <c r="I25" s="466"/>
      <c r="J25" s="5"/>
      <c r="K25" s="112"/>
      <c r="L25" s="112"/>
      <c r="M25" s="112"/>
      <c r="N25" s="112"/>
      <c r="O25" s="112"/>
      <c r="P25" s="112"/>
    </row>
    <row r="26" spans="2:16" ht="15" customHeight="1">
      <c r="B26" s="921" t="s">
        <v>10</v>
      </c>
      <c r="C26" s="515"/>
      <c r="D26" s="438"/>
      <c r="E26" s="438"/>
      <c r="F26" s="529"/>
      <c r="G26" s="422"/>
      <c r="H26" s="494"/>
      <c r="I26" s="466"/>
      <c r="J26" s="5"/>
      <c r="K26" s="112"/>
      <c r="L26" s="112"/>
      <c r="M26" s="112"/>
      <c r="N26" s="112"/>
      <c r="O26" s="112"/>
      <c r="P26" s="112"/>
    </row>
    <row r="27" spans="2:16" ht="15" customHeight="1">
      <c r="B27" s="132" t="str">
        <f>'BW2-Field Act. Labor &amp; Mach.'!B20</f>
        <v>Direct seed on bareground</v>
      </c>
      <c r="C27" s="516">
        <f>'BW2-Field Act. Labor &amp; Mach.'!I20</f>
        <v>52.7684</v>
      </c>
      <c r="D27" s="520">
        <f>'BW2-Field Act. Labor &amp; Mach.'!K20</f>
        <v>17.196459355934465</v>
      </c>
      <c r="E27" s="520">
        <f>'BW2-Field Act. Labor &amp; Mach.'!L20</f>
        <v>40.179586989352146</v>
      </c>
      <c r="F27" s="526"/>
      <c r="G27" s="265"/>
      <c r="H27" s="463"/>
      <c r="I27" s="466"/>
      <c r="J27" s="110"/>
      <c r="K27" s="112"/>
      <c r="L27" s="112"/>
      <c r="M27" s="112"/>
      <c r="N27" s="112"/>
      <c r="O27" s="112"/>
      <c r="P27" s="112"/>
    </row>
    <row r="28" spans="2:16" ht="15" customHeight="1">
      <c r="B28" s="151" t="s">
        <v>315</v>
      </c>
      <c r="C28" s="516"/>
      <c r="D28" s="520"/>
      <c r="E28" s="520"/>
      <c r="F28" s="526">
        <f>'BW3-Variable Input'!C10</f>
        <v>124</v>
      </c>
      <c r="G28" s="133"/>
      <c r="H28" s="463"/>
      <c r="I28" s="466"/>
      <c r="J28" s="110"/>
      <c r="K28" s="112"/>
      <c r="L28" s="112"/>
      <c r="M28" s="112"/>
      <c r="N28" s="112"/>
      <c r="O28" s="112"/>
      <c r="P28" s="112"/>
    </row>
    <row r="29" spans="2:16" ht="15" customHeight="1">
      <c r="B29" s="418" t="s">
        <v>65</v>
      </c>
      <c r="C29" s="513"/>
      <c r="D29" s="521"/>
      <c r="E29" s="521"/>
      <c r="F29" s="527">
        <f>'BW3-Variable Input'!C43</f>
        <v>166.19815384615387</v>
      </c>
      <c r="G29" s="486"/>
      <c r="H29" s="485"/>
      <c r="I29" s="466"/>
      <c r="J29" s="110"/>
      <c r="K29" s="112"/>
      <c r="L29" s="112"/>
      <c r="M29" s="112"/>
      <c r="N29" s="112"/>
      <c r="O29" s="112"/>
      <c r="P29" s="112"/>
    </row>
    <row r="30" spans="2:16" ht="15" customHeight="1">
      <c r="B30" s="229"/>
      <c r="C30" s="133"/>
      <c r="D30" s="133"/>
      <c r="E30" s="133"/>
      <c r="F30" s="133"/>
      <c r="G30" s="133"/>
      <c r="H30" s="466"/>
      <c r="I30" s="466"/>
      <c r="J30" s="110"/>
      <c r="K30" s="112"/>
      <c r="L30" s="112"/>
      <c r="M30" s="112"/>
      <c r="N30" s="112"/>
      <c r="O30" s="112"/>
      <c r="P30" s="112"/>
    </row>
    <row r="31" spans="2:16" ht="15" customHeight="1">
      <c r="B31" s="921" t="s">
        <v>37</v>
      </c>
      <c r="C31" s="515"/>
      <c r="D31" s="438"/>
      <c r="E31" s="438"/>
      <c r="F31" s="529"/>
      <c r="G31" s="422"/>
      <c r="H31" s="494"/>
      <c r="I31" s="466"/>
      <c r="J31" s="110"/>
      <c r="K31" s="112"/>
      <c r="L31" s="112"/>
      <c r="M31" s="112"/>
      <c r="N31" s="112"/>
      <c r="O31" s="112"/>
      <c r="P31" s="112"/>
    </row>
    <row r="32" spans="2:16" ht="15" customHeight="1">
      <c r="B32" s="462" t="s">
        <v>179</v>
      </c>
      <c r="C32" s="512">
        <f>'BW2-Field Act. Labor &amp; Mach.'!$I$31*2</f>
        <v>10.55368</v>
      </c>
      <c r="D32" s="520">
        <f>'BW2-Field Act. Labor &amp; Mach.'!K31*2</f>
        <v>1.6570295666513035</v>
      </c>
      <c r="E32" s="520">
        <f>'BW2-Field Act. Labor &amp; Mach.'!L31*2</f>
        <v>27.363002680965153</v>
      </c>
      <c r="F32" s="526"/>
      <c r="G32" s="133"/>
      <c r="H32" s="133"/>
      <c r="I32" s="466"/>
      <c r="J32" s="110"/>
      <c r="K32" s="112"/>
      <c r="L32" s="118"/>
      <c r="M32" s="112"/>
      <c r="N32" s="112"/>
      <c r="O32" s="112"/>
      <c r="P32" s="112"/>
    </row>
    <row r="33" spans="2:20" ht="15" customHeight="1">
      <c r="B33" s="151" t="str">
        <f>'BW5-Irrigation'!$B$8</f>
        <v>Irrigation supply cost</v>
      </c>
      <c r="C33" s="512"/>
      <c r="D33" s="520"/>
      <c r="E33" s="520"/>
      <c r="F33" s="526">
        <f>'BW5-Irrigation'!$E$8</f>
        <v>32.773534158149545</v>
      </c>
      <c r="G33" s="1029" t="s">
        <v>851</v>
      </c>
      <c r="H33" s="133"/>
      <c r="I33" s="466"/>
      <c r="J33" s="110"/>
      <c r="K33" s="112"/>
      <c r="L33" s="118"/>
      <c r="M33" s="112"/>
      <c r="N33" s="112"/>
      <c r="O33" s="112"/>
      <c r="P33" s="112"/>
    </row>
    <row r="34" spans="2:20" ht="15" customHeight="1">
      <c r="B34" s="132" t="str">
        <f>'BW5-Irrigation'!$B$9</f>
        <v>Irrigation set-up labor cost</v>
      </c>
      <c r="C34" s="512">
        <f>'BW5-Irrigation'!$E$9</f>
        <v>50.735370890410955</v>
      </c>
      <c r="D34" s="520"/>
      <c r="E34" s="520"/>
      <c r="F34" s="526"/>
      <c r="G34" s="1029" t="s">
        <v>851</v>
      </c>
      <c r="H34" s="133"/>
      <c r="I34" s="466"/>
      <c r="J34" s="110"/>
      <c r="K34" s="112"/>
      <c r="L34" s="118"/>
      <c r="M34" s="112"/>
      <c r="N34" s="112"/>
      <c r="O34" s="112"/>
      <c r="P34" s="112"/>
    </row>
    <row r="35" spans="2:20" ht="15" customHeight="1">
      <c r="B35" s="132" t="s">
        <v>294</v>
      </c>
      <c r="C35" s="512">
        <f>'BW2-Field Act. Labor &amp; Mach.'!I39*'BW5-Irrigation'!C21</f>
        <v>158.30520000000001</v>
      </c>
      <c r="D35" s="520"/>
      <c r="E35" s="520"/>
      <c r="F35" s="526"/>
      <c r="G35" s="133"/>
      <c r="H35" s="463"/>
      <c r="I35" s="236"/>
      <c r="J35" s="115"/>
      <c r="K35" s="118"/>
      <c r="L35" s="118"/>
      <c r="M35" s="118"/>
      <c r="N35" s="112"/>
      <c r="O35" s="112"/>
      <c r="P35" s="112"/>
    </row>
    <row r="36" spans="2:20" ht="15" customHeight="1">
      <c r="B36" s="462" t="s">
        <v>230</v>
      </c>
      <c r="C36" s="517">
        <v>6.6</v>
      </c>
      <c r="D36" s="523">
        <f>'BW2-Field Act. Labor &amp; Mach.'!K32</f>
        <v>0.70423756582680397</v>
      </c>
      <c r="E36" s="523">
        <f>'BW2-Field Act. Labor &amp; Mach.'!L32</f>
        <v>11.629276139410191</v>
      </c>
      <c r="F36" s="530"/>
      <c r="G36" s="133"/>
      <c r="H36" s="133"/>
      <c r="I36" s="463"/>
      <c r="J36" s="110"/>
      <c r="K36" s="112"/>
      <c r="L36" s="118"/>
      <c r="M36" s="112"/>
      <c r="N36" s="112"/>
      <c r="O36" s="112"/>
      <c r="P36" s="112"/>
    </row>
    <row r="37" spans="2:20" ht="15" customHeight="1">
      <c r="B37" s="482" t="s">
        <v>308</v>
      </c>
      <c r="C37" s="517"/>
      <c r="D37" s="523"/>
      <c r="E37" s="523"/>
      <c r="F37" s="530">
        <v>8.8000000000000007</v>
      </c>
      <c r="G37" s="133"/>
      <c r="H37" s="133"/>
      <c r="I37" s="463"/>
      <c r="J37" s="110"/>
      <c r="K37" s="112"/>
      <c r="L37" s="118"/>
      <c r="M37" s="112"/>
      <c r="N37" s="112"/>
      <c r="O37" s="112"/>
      <c r="P37" s="112"/>
    </row>
    <row r="38" spans="2:20" ht="15" customHeight="1">
      <c r="B38" s="462" t="s">
        <v>201</v>
      </c>
      <c r="C38" s="512">
        <f>'BW2-Field Act. Labor &amp; Mach.'!$I$28*3</f>
        <v>31.66104</v>
      </c>
      <c r="D38" s="520">
        <f>'BW2-Field Act. Labor &amp; Mach.'!K28*3</f>
        <v>13.069827471322013</v>
      </c>
      <c r="E38" s="520">
        <f>'BW2-Field Act. Labor &amp; Mach.'!L28*3</f>
        <v>34.652202498356345</v>
      </c>
      <c r="F38" s="526"/>
      <c r="G38" s="133"/>
      <c r="H38" s="463"/>
      <c r="I38" s="463"/>
      <c r="J38" s="115"/>
      <c r="K38" s="112"/>
      <c r="L38" s="118"/>
      <c r="M38" s="112"/>
      <c r="N38" s="112"/>
      <c r="O38" s="112"/>
      <c r="P38" s="112"/>
    </row>
    <row r="39" spans="2:20" ht="15" customHeight="1">
      <c r="B39" s="462" t="str">
        <f>'BW2-Field Act. Labor &amp; Mach.'!$B$34</f>
        <v>Scuffle hoe</v>
      </c>
      <c r="C39" s="512">
        <f>'BW2-Field Act. Labor &amp; Mach.'!$I$34</f>
        <v>98.940749999999994</v>
      </c>
      <c r="D39" s="520"/>
      <c r="E39" s="520"/>
      <c r="F39" s="526"/>
      <c r="G39" s="133"/>
      <c r="H39" s="479"/>
      <c r="I39" s="479"/>
      <c r="J39" s="480"/>
      <c r="K39" s="228"/>
      <c r="L39"/>
      <c r="M39"/>
      <c r="N39"/>
      <c r="O39"/>
      <c r="P39"/>
      <c r="Q39"/>
      <c r="R39"/>
      <c r="S39"/>
      <c r="T39"/>
    </row>
    <row r="40" spans="2:20" ht="15" customHeight="1">
      <c r="B40" s="493" t="s">
        <v>180</v>
      </c>
      <c r="C40" s="513">
        <f>'BW2-Field Act. Labor &amp; Mach.'!$I$29*2</f>
        <v>63.32208</v>
      </c>
      <c r="D40" s="521">
        <f>'BW2-Field Act. Labor &amp; Mach.'!K29*2</f>
        <v>18.849340278005133</v>
      </c>
      <c r="E40" s="521">
        <f>'BW2-Field Act. Labor &amp; Mach.'!L29*2</f>
        <v>51.654848024316109</v>
      </c>
      <c r="F40" s="527"/>
      <c r="G40" s="486"/>
      <c r="H40" s="485"/>
      <c r="I40" s="463"/>
      <c r="J40" s="115"/>
      <c r="K40" s="112"/>
      <c r="L40" s="118"/>
      <c r="M40" s="112"/>
      <c r="N40" s="112"/>
      <c r="O40" s="112"/>
      <c r="P40" s="112"/>
    </row>
    <row r="41" spans="2:20" s="453" customFormat="1" ht="15" customHeight="1">
      <c r="B41" s="824" t="s">
        <v>508</v>
      </c>
      <c r="C41" s="444">
        <f>SUM(C12:C14, C17:C24, C27:C29,C32:C40)</f>
        <v>619.31883089041105</v>
      </c>
      <c r="D41" s="444">
        <f>SUM(D12:D14, D17:D24, D27:D29,D32:D40)</f>
        <v>133.06497899652257</v>
      </c>
      <c r="E41" s="444">
        <f>SUM(E12:E14, E17:E24, E27:E29,E32:E40)</f>
        <v>315.03546509844961</v>
      </c>
      <c r="F41" s="444">
        <f>SUM(F12:F14, F17:F24, F27:F29,F32:F40)</f>
        <v>589.70707261968801</v>
      </c>
      <c r="G41" s="445" t="s">
        <v>4</v>
      </c>
      <c r="H41" s="446">
        <f>SUM(C41:F41)</f>
        <v>1657.1263476050713</v>
      </c>
      <c r="J41" s="117"/>
      <c r="K41" s="476"/>
      <c r="L41" s="476"/>
      <c r="M41" s="477"/>
      <c r="N41" s="477"/>
      <c r="O41" s="477"/>
      <c r="P41" s="477"/>
      <c r="Q41" s="475"/>
    </row>
    <row r="42" spans="2:20" s="120" customFormat="1" ht="15" customHeight="1">
      <c r="B42" s="593"/>
      <c r="C42" s="133"/>
      <c r="D42" s="133"/>
      <c r="E42" s="133"/>
      <c r="F42" s="133"/>
      <c r="G42" s="924"/>
      <c r="H42" s="265"/>
    </row>
    <row r="43" spans="2:20" s="119" customFormat="1" ht="15" customHeight="1">
      <c r="B43" s="116" t="s">
        <v>914</v>
      </c>
      <c r="C43" s="133"/>
      <c r="D43" s="133"/>
      <c r="E43" s="133"/>
      <c r="F43" s="133"/>
      <c r="G43" s="924"/>
      <c r="H43" s="265"/>
      <c r="J43" s="120"/>
    </row>
    <row r="44" spans="2:20" ht="15" customHeight="1">
      <c r="B44" s="921" t="s">
        <v>3</v>
      </c>
      <c r="C44" s="514"/>
      <c r="D44" s="522"/>
      <c r="E44" s="522"/>
      <c r="F44" s="528"/>
      <c r="G44" s="983"/>
      <c r="H44" s="491"/>
      <c r="J44" s="109"/>
      <c r="K44" s="118"/>
      <c r="L44" s="112"/>
      <c r="M44" s="111"/>
      <c r="N44" s="111"/>
      <c r="O44" s="111"/>
      <c r="P44" s="111"/>
      <c r="Q44" s="109"/>
    </row>
    <row r="45" spans="2:20" ht="15" customHeight="1">
      <c r="B45" s="132" t="s">
        <v>297</v>
      </c>
      <c r="C45" s="512">
        <f>'BW6-Harvest and Wash-Pack'!D15*'BW6-Harvest and Wash-Pack'!G15</f>
        <v>2374.578</v>
      </c>
      <c r="D45" s="520">
        <f>'BW2-Field Act. Labor &amp; Mach.'!K54*'BW6-Harvest and Wash-Pack'!G15</f>
        <v>0.39854590537428108</v>
      </c>
      <c r="E45" s="520">
        <f>'BW2-Field Act. Labor &amp; Mach.'!L54*'BW6-Harvest and Wash-Pack'!G15</f>
        <v>2.2052556818181817</v>
      </c>
      <c r="F45" s="526"/>
      <c r="G45" s="1029" t="s">
        <v>852</v>
      </c>
      <c r="H45" s="265"/>
      <c r="J45" s="109"/>
      <c r="K45" s="118"/>
      <c r="L45" s="112"/>
      <c r="M45" s="113"/>
      <c r="N45" s="113"/>
      <c r="O45" s="113"/>
      <c r="P45" s="113"/>
      <c r="Q45" s="109"/>
    </row>
    <row r="46" spans="2:20" ht="15" customHeight="1">
      <c r="B46" s="151" t="str">
        <f>'BW3-Variable Input'!$B$70</f>
        <v>Twist ties</v>
      </c>
      <c r="C46" s="517"/>
      <c r="D46" s="523"/>
      <c r="E46" s="523"/>
      <c r="F46" s="526">
        <f>'BW3-Variable Input'!$C$70*'BW6-Harvest and Wash-Pack'!G15</f>
        <v>261.35986499999996</v>
      </c>
      <c r="G46" s="1029"/>
      <c r="H46" s="265"/>
      <c r="J46" s="109"/>
      <c r="K46" s="118"/>
      <c r="L46" s="112"/>
      <c r="M46" s="113"/>
      <c r="N46" s="113"/>
      <c r="O46" s="113"/>
      <c r="P46" s="113"/>
      <c r="Q46" s="109"/>
    </row>
    <row r="47" spans="2:20" ht="15" customHeight="1">
      <c r="B47" s="132" t="s">
        <v>358</v>
      </c>
      <c r="C47" s="512">
        <f>'BW6-Harvest and Wash-Pack'!F15*'BW6-Harvest and Wash-Pack'!G15</f>
        <v>593.64449999999999</v>
      </c>
      <c r="D47" s="520"/>
      <c r="E47" s="520"/>
      <c r="F47" s="526"/>
      <c r="G47" s="1029" t="s">
        <v>852</v>
      </c>
      <c r="H47" s="463"/>
      <c r="J47" s="115"/>
      <c r="K47" s="118"/>
      <c r="L47" s="112"/>
      <c r="M47" s="113"/>
      <c r="N47" s="113"/>
      <c r="O47" s="113"/>
      <c r="P47" s="113"/>
      <c r="Q47" s="109"/>
    </row>
    <row r="48" spans="2:20" ht="15" customHeight="1">
      <c r="B48" s="418" t="str">
        <f>'BW3-Variable Input'!$B$67</f>
        <v>Sani-Date 5.0 Wash Water Sanitizer</v>
      </c>
      <c r="C48" s="518"/>
      <c r="D48" s="524"/>
      <c r="E48" s="524"/>
      <c r="F48" s="531">
        <f>'BW3-Variable Input'!$H$220</f>
        <v>91.297297297297291</v>
      </c>
      <c r="G48" s="925"/>
      <c r="H48" s="485"/>
      <c r="J48" s="115"/>
      <c r="K48" s="118"/>
      <c r="L48" s="112"/>
      <c r="M48" s="113"/>
      <c r="N48" s="113"/>
      <c r="O48" s="113"/>
      <c r="P48" s="113"/>
      <c r="Q48" s="109"/>
    </row>
    <row r="49" spans="2:17" s="453" customFormat="1" ht="15" customHeight="1">
      <c r="B49" s="824" t="s">
        <v>508</v>
      </c>
      <c r="C49" s="444">
        <f>SUM(C45:C48)</f>
        <v>2968.2224999999999</v>
      </c>
      <c r="D49" s="444">
        <f>SUM(D45:D48)</f>
        <v>0.39854590537428108</v>
      </c>
      <c r="E49" s="444">
        <f>SUM(E45:E48)</f>
        <v>2.2052556818181817</v>
      </c>
      <c r="F49" s="444">
        <f>SUM(F45:F48)</f>
        <v>352.65716229729725</v>
      </c>
      <c r="G49" s="445" t="s">
        <v>4</v>
      </c>
      <c r="H49" s="446">
        <f>SUM(C49:F49)</f>
        <v>3323.4834638844895</v>
      </c>
      <c r="J49" s="117"/>
      <c r="K49" s="476"/>
      <c r="L49" s="476"/>
      <c r="M49" s="477"/>
      <c r="N49" s="477"/>
      <c r="O49" s="477"/>
      <c r="P49" s="477"/>
      <c r="Q49" s="475"/>
    </row>
    <row r="50" spans="2:17" s="120" customFormat="1" ht="15" customHeight="1">
      <c r="B50" s="593"/>
      <c r="C50" s="133"/>
      <c r="D50" s="133"/>
      <c r="E50" s="133"/>
      <c r="F50" s="133"/>
      <c r="G50" s="924"/>
      <c r="H50" s="265"/>
    </row>
    <row r="51" spans="2:17" s="119" customFormat="1" ht="15" customHeight="1">
      <c r="B51" s="116" t="s">
        <v>662</v>
      </c>
      <c r="C51" s="133"/>
      <c r="D51" s="133"/>
      <c r="E51" s="133"/>
      <c r="F51" s="133"/>
      <c r="G51" s="924"/>
      <c r="H51" s="265"/>
    </row>
    <row r="52" spans="2:17" ht="15" customHeight="1">
      <c r="B52" s="921" t="s">
        <v>663</v>
      </c>
      <c r="C52" s="515"/>
      <c r="D52" s="438"/>
      <c r="E52" s="438"/>
      <c r="F52" s="529"/>
      <c r="G52" s="494"/>
      <c r="H52" s="494"/>
      <c r="J52" s="110"/>
      <c r="K52" s="112"/>
      <c r="L52" s="112"/>
      <c r="M52" s="113"/>
      <c r="N52" s="113"/>
      <c r="O52" s="113"/>
      <c r="P52" s="113"/>
      <c r="Q52" s="109"/>
    </row>
    <row r="53" spans="2:17" ht="15" customHeight="1">
      <c r="B53" s="132" t="s">
        <v>42</v>
      </c>
      <c r="C53" s="512">
        <f>'BW2-Field Act. Labor &amp; Mach.'!$I$62</f>
        <v>10.55368</v>
      </c>
      <c r="D53" s="520">
        <f>'BW2-Field Act. Labor &amp; Mach.'!K62</f>
        <v>8.1859214566429603</v>
      </c>
      <c r="E53" s="520">
        <f>'BW2-Field Act. Labor &amp; Mach.'!L62</f>
        <v>7.508305016148265</v>
      </c>
      <c r="F53" s="526"/>
      <c r="G53" s="463"/>
      <c r="H53" s="463"/>
      <c r="J53" s="110"/>
      <c r="K53" s="112"/>
      <c r="L53" s="112"/>
      <c r="M53" s="113"/>
      <c r="N53" s="113"/>
      <c r="O53" s="113"/>
      <c r="P53" s="113"/>
      <c r="Q53" s="109"/>
    </row>
    <row r="54" spans="2:17" ht="15" customHeight="1">
      <c r="B54" s="132" t="s">
        <v>150</v>
      </c>
      <c r="C54" s="512">
        <f>'BW2-Field Act. Labor &amp; Mach.'!$I$65</f>
        <v>42.21472</v>
      </c>
      <c r="D54" s="520">
        <f>'BW2-Field Act. Labor &amp; Mach.'!K65</f>
        <v>3.4075700159999998</v>
      </c>
      <c r="E54" s="520">
        <f>'BW2-Field Act. Labor &amp; Mach.'!L65</f>
        <v>2.89283314099518</v>
      </c>
      <c r="F54" s="526"/>
      <c r="G54" s="463"/>
      <c r="H54" s="463"/>
      <c r="J54" s="115"/>
      <c r="K54" s="118"/>
      <c r="L54" s="112"/>
      <c r="M54" s="113"/>
      <c r="N54" s="113"/>
      <c r="O54" s="113"/>
      <c r="P54" s="113"/>
      <c r="Q54" s="109"/>
    </row>
    <row r="55" spans="2:17" ht="15" customHeight="1">
      <c r="B55" s="462" t="s">
        <v>43</v>
      </c>
      <c r="C55" s="512">
        <f>'BW2-Field Act. Labor &amp; Mach.'!$I$66</f>
        <v>5.27684</v>
      </c>
      <c r="D55" s="520">
        <f>'BW2-Field Act. Labor &amp; Mach.'!K66</f>
        <v>4.7393418269465482</v>
      </c>
      <c r="E55" s="520">
        <f>'BW2-Field Act. Labor &amp; Mach.'!L66</f>
        <v>4.8215303303156709</v>
      </c>
      <c r="F55" s="526"/>
      <c r="G55" s="463"/>
      <c r="H55" s="463"/>
      <c r="J55" s="110"/>
      <c r="K55" s="118"/>
      <c r="L55" s="112"/>
      <c r="M55" s="113"/>
      <c r="N55" s="113"/>
      <c r="O55" s="113"/>
      <c r="P55" s="113"/>
      <c r="Q55" s="109"/>
    </row>
    <row r="56" spans="2:17" ht="15" customHeight="1">
      <c r="B56" s="462" t="s">
        <v>44</v>
      </c>
      <c r="C56" s="512">
        <f>'BW2-Field Act. Labor &amp; Mach.'!$I$67</f>
        <v>5.27684</v>
      </c>
      <c r="D56" s="520">
        <f>'BW2-Field Act. Labor &amp; Mach.'!K67</f>
        <v>4.5754035882945541</v>
      </c>
      <c r="E56" s="520">
        <f>'BW2-Field Act. Labor &amp; Mach.'!L67</f>
        <v>8.7882358546602415</v>
      </c>
      <c r="F56" s="526"/>
      <c r="G56" s="463"/>
      <c r="H56" s="463"/>
      <c r="J56" s="110"/>
      <c r="K56" s="112"/>
      <c r="L56" s="112"/>
      <c r="M56" s="113"/>
      <c r="N56" s="113"/>
      <c r="O56" s="113"/>
      <c r="P56" s="113"/>
      <c r="Q56" s="109"/>
    </row>
    <row r="57" spans="2:17" ht="15" customHeight="1">
      <c r="B57" s="462" t="s">
        <v>45</v>
      </c>
      <c r="C57" s="512">
        <f>'BW2-Field Act. Labor &amp; Mach.'!$I$69</f>
        <v>14.511310000000002</v>
      </c>
      <c r="D57" s="520">
        <f>'BW2-Field Act. Labor &amp; Mach.'!K69</f>
        <v>5.9046727740142977</v>
      </c>
      <c r="E57" s="520">
        <f>'BW2-Field Act. Labor &amp; Mach.'!L69</f>
        <v>8.041581086300118</v>
      </c>
      <c r="F57" s="526"/>
      <c r="G57" s="463"/>
      <c r="H57" s="463"/>
      <c r="J57" s="110"/>
      <c r="K57" s="112"/>
      <c r="L57" s="112"/>
      <c r="M57" s="113"/>
      <c r="N57" s="113"/>
      <c r="O57" s="113"/>
      <c r="P57" s="113"/>
      <c r="Q57" s="109"/>
    </row>
    <row r="58" spans="2:17" ht="15" customHeight="1">
      <c r="B58" s="500" t="str">
        <f>'BW3-Variable Input'!$B$33</f>
        <v>Winter cover crop seed</v>
      </c>
      <c r="C58" s="513"/>
      <c r="D58" s="521"/>
      <c r="E58" s="521"/>
      <c r="F58" s="527">
        <f>'BW3-Variable Input'!$C$33</f>
        <v>31.793452380952385</v>
      </c>
      <c r="G58" s="485"/>
      <c r="H58" s="485"/>
      <c r="J58" s="115"/>
      <c r="K58" s="118"/>
      <c r="L58" s="112"/>
      <c r="M58" s="113"/>
      <c r="N58" s="113"/>
      <c r="O58" s="113"/>
      <c r="P58" s="113"/>
      <c r="Q58" s="109"/>
    </row>
    <row r="59" spans="2:17" s="453" customFormat="1" ht="15" customHeight="1">
      <c r="B59" s="824" t="s">
        <v>508</v>
      </c>
      <c r="C59" s="444">
        <f>SUM(C53:C58)</f>
        <v>77.833390000000009</v>
      </c>
      <c r="D59" s="444">
        <f>SUM(D53:D58)</f>
        <v>26.812909661898363</v>
      </c>
      <c r="E59" s="444">
        <f>SUM(E53:E58)</f>
        <v>32.052485428419473</v>
      </c>
      <c r="F59" s="444">
        <f>SUM(F53:F58)</f>
        <v>31.793452380952385</v>
      </c>
      <c r="G59" s="447" t="s">
        <v>4</v>
      </c>
      <c r="H59" s="446">
        <f>SUM(C59:F59)</f>
        <v>168.49223747127022</v>
      </c>
      <c r="J59" s="117"/>
      <c r="K59" s="476"/>
      <c r="L59" s="476"/>
      <c r="M59" s="478"/>
      <c r="N59" s="478"/>
      <c r="O59" s="478"/>
      <c r="P59" s="478"/>
      <c r="Q59" s="475"/>
    </row>
    <row r="60" spans="2:17" s="120" customFormat="1" ht="15" customHeight="1">
      <c r="B60" s="593"/>
      <c r="C60" s="133"/>
      <c r="D60" s="133"/>
      <c r="E60" s="133"/>
      <c r="F60" s="133"/>
      <c r="G60" s="463"/>
      <c r="H60" s="463"/>
      <c r="J60" s="115"/>
      <c r="K60" s="825"/>
      <c r="L60" s="127"/>
      <c r="M60" s="113"/>
      <c r="N60" s="113"/>
      <c r="O60" s="113"/>
      <c r="P60" s="113"/>
    </row>
    <row r="61" spans="2:17" s="453" customFormat="1" ht="15" customHeight="1">
      <c r="B61" s="116" t="s">
        <v>515</v>
      </c>
      <c r="C61" s="444">
        <f>C41+C49+C59</f>
        <v>3665.3747208904106</v>
      </c>
      <c r="D61" s="444">
        <f>D41+D49+D59</f>
        <v>160.27643456379522</v>
      </c>
      <c r="E61" s="444">
        <f>E41+E49+E59</f>
        <v>349.29320620868725</v>
      </c>
      <c r="F61" s="444">
        <f>F41+F49+F59</f>
        <v>974.15768729793763</v>
      </c>
      <c r="G61" s="447" t="s">
        <v>4</v>
      </c>
      <c r="H61" s="446">
        <f>SUM(C61:F61)</f>
        <v>5149.1020489608309</v>
      </c>
      <c r="J61" s="117"/>
      <c r="K61" s="476"/>
      <c r="L61" s="476"/>
      <c r="M61" s="478"/>
      <c r="N61" s="478"/>
      <c r="O61" s="478"/>
      <c r="P61" s="478"/>
      <c r="Q61" s="475"/>
    </row>
    <row r="62" spans="2:17" ht="15" customHeight="1">
      <c r="B62" s="114"/>
      <c r="C62" s="133"/>
      <c r="D62" s="133"/>
      <c r="E62" s="133"/>
      <c r="F62" s="133"/>
      <c r="G62" s="463"/>
      <c r="H62" s="463"/>
      <c r="J62" s="110"/>
      <c r="K62" s="112"/>
      <c r="L62" s="112"/>
      <c r="M62" s="113"/>
      <c r="N62" s="113"/>
      <c r="O62" s="113"/>
      <c r="P62" s="113"/>
      <c r="Q62" s="109"/>
    </row>
    <row r="63" spans="2:17">
      <c r="B63" s="1032"/>
      <c r="C63" s="1033"/>
      <c r="D63" s="1033"/>
      <c r="E63" s="1033"/>
      <c r="F63" s="1033"/>
      <c r="G63" s="1033"/>
      <c r="H63" s="1033"/>
    </row>
    <row r="64" spans="2:17">
      <c r="B64" s="916"/>
      <c r="C64" s="916"/>
      <c r="D64" s="916"/>
      <c r="E64" s="916"/>
      <c r="F64" s="916"/>
      <c r="G64" s="916"/>
      <c r="H64" s="916"/>
    </row>
    <row r="65" spans="2:16">
      <c r="B65" s="116" t="s">
        <v>664</v>
      </c>
      <c r="C65" s="916"/>
      <c r="D65" s="916"/>
      <c r="E65" s="916"/>
      <c r="F65" s="916"/>
      <c r="G65" s="916"/>
      <c r="H65" s="916"/>
    </row>
    <row r="66" spans="2:16">
      <c r="B66" s="985" t="s">
        <v>668</v>
      </c>
      <c r="C66" s="916"/>
      <c r="D66" s="916"/>
      <c r="E66" s="916"/>
      <c r="F66" s="916"/>
      <c r="G66" s="916"/>
      <c r="H66" s="986">
        <f>C41+C59</f>
        <v>697.15222089041106</v>
      </c>
    </row>
    <row r="67" spans="2:16">
      <c r="B67" s="135" t="s">
        <v>667</v>
      </c>
      <c r="C67" s="916"/>
      <c r="D67" s="916"/>
      <c r="E67" s="916"/>
      <c r="F67" s="916"/>
      <c r="G67" s="916"/>
      <c r="H67" s="986">
        <f>D41+D59</f>
        <v>159.87788865842094</v>
      </c>
    </row>
    <row r="68" spans="2:16" ht="15" customHeight="1">
      <c r="B68" s="985" t="s">
        <v>669</v>
      </c>
      <c r="C68" s="469"/>
      <c r="D68" s="133"/>
      <c r="E68" s="444"/>
      <c r="F68" s="464"/>
      <c r="G68" s="442"/>
      <c r="H68" s="463">
        <f>F41+F59</f>
        <v>621.50052500064044</v>
      </c>
      <c r="I68" s="115"/>
      <c r="J68" s="118"/>
      <c r="K68" s="112"/>
      <c r="L68" s="113"/>
      <c r="M68" s="113"/>
      <c r="N68" s="113"/>
      <c r="O68" s="113"/>
      <c r="P68" s="109"/>
    </row>
    <row r="69" spans="2:16" ht="15" customHeight="1">
      <c r="B69" s="831" t="s">
        <v>666</v>
      </c>
      <c r="C69" s="469"/>
      <c r="D69" s="469"/>
      <c r="E69" s="592"/>
      <c r="F69" s="464"/>
      <c r="G69" s="442"/>
      <c r="H69" s="848">
        <f>SUM(H66:H68)</f>
        <v>1478.5306345494723</v>
      </c>
      <c r="I69" s="132"/>
      <c r="J69" s="112"/>
      <c r="K69" s="112"/>
      <c r="L69" s="113"/>
      <c r="M69" s="113"/>
      <c r="N69" s="113"/>
      <c r="O69" s="113"/>
      <c r="P69" s="109"/>
    </row>
    <row r="70" spans="2:16" ht="15" customHeight="1">
      <c r="B70" s="985" t="s">
        <v>680</v>
      </c>
      <c r="C70" s="469"/>
      <c r="D70" s="469"/>
      <c r="E70" s="469"/>
      <c r="F70" s="132"/>
      <c r="G70" s="442"/>
      <c r="H70" s="463">
        <f>C49</f>
        <v>2968.2224999999999</v>
      </c>
      <c r="I70" s="132"/>
      <c r="J70" s="112"/>
      <c r="K70" s="112"/>
      <c r="L70" s="113"/>
      <c r="M70" s="113"/>
      <c r="N70" s="113"/>
      <c r="O70" s="113"/>
      <c r="P70" s="109"/>
    </row>
    <row r="71" spans="2:16" ht="15" customHeight="1">
      <c r="B71" s="985" t="s">
        <v>445</v>
      </c>
      <c r="C71" s="469"/>
      <c r="D71" s="469"/>
      <c r="E71" s="469"/>
      <c r="F71" s="132"/>
      <c r="G71" s="442"/>
      <c r="H71" s="463">
        <f>D49</f>
        <v>0.39854590537428108</v>
      </c>
      <c r="I71" s="132"/>
      <c r="J71" s="112"/>
      <c r="K71" s="112"/>
      <c r="L71" s="113"/>
      <c r="M71" s="113"/>
      <c r="N71" s="113"/>
      <c r="O71" s="113"/>
      <c r="P71" s="109"/>
    </row>
    <row r="72" spans="2:16" ht="15" customHeight="1">
      <c r="B72" s="985" t="s">
        <v>670</v>
      </c>
      <c r="C72" s="469"/>
      <c r="D72" s="444"/>
      <c r="E72" s="469"/>
      <c r="F72" s="132"/>
      <c r="G72" s="132"/>
      <c r="H72" s="463">
        <f>F49</f>
        <v>352.65716229729725</v>
      </c>
      <c r="I72" s="132"/>
      <c r="J72" s="112"/>
      <c r="K72" s="112"/>
      <c r="L72" s="113"/>
      <c r="M72" s="113"/>
      <c r="N72" s="113"/>
      <c r="O72" s="113"/>
      <c r="P72" s="109"/>
    </row>
    <row r="73" spans="2:16" ht="15" customHeight="1">
      <c r="B73" s="831" t="s">
        <v>671</v>
      </c>
      <c r="C73" s="43"/>
      <c r="D73" s="43"/>
      <c r="E73" s="832"/>
      <c r="F73" s="43"/>
      <c r="G73" s="43"/>
      <c r="H73" s="598">
        <f>SUM(H70:H72)</f>
        <v>3321.2782082026715</v>
      </c>
      <c r="I73" s="132"/>
      <c r="J73" s="112"/>
      <c r="K73" s="112"/>
      <c r="L73" s="113"/>
      <c r="M73" s="113"/>
      <c r="N73" s="113"/>
      <c r="O73" s="113"/>
      <c r="P73" s="109"/>
    </row>
    <row r="74" spans="2:16" ht="15" customHeight="1">
      <c r="B74" s="833" t="s">
        <v>513</v>
      </c>
      <c r="C74" s="919"/>
      <c r="D74" s="919"/>
      <c r="E74" s="987"/>
      <c r="F74" s="988"/>
      <c r="G74" s="919"/>
      <c r="H74" s="818">
        <f>H69+H73</f>
        <v>4799.8088427521434</v>
      </c>
      <c r="I74" s="132"/>
      <c r="J74" s="112"/>
      <c r="K74" s="112"/>
      <c r="L74" s="113"/>
      <c r="M74" s="113"/>
      <c r="N74" s="113"/>
      <c r="O74" s="113"/>
      <c r="P74" s="109"/>
    </row>
    <row r="75" spans="2:16" ht="15" customHeight="1">
      <c r="B75" s="985" t="s">
        <v>672</v>
      </c>
      <c r="C75" s="135"/>
      <c r="D75" s="135"/>
      <c r="E75" s="472"/>
      <c r="F75" s="135"/>
      <c r="G75" s="135"/>
      <c r="H75" s="989">
        <f>E41+E59</f>
        <v>347.08795052686907</v>
      </c>
      <c r="I75" s="132"/>
      <c r="J75" s="112"/>
      <c r="K75" s="112"/>
      <c r="L75" s="113"/>
      <c r="M75" s="113"/>
      <c r="N75" s="113"/>
      <c r="O75" s="113"/>
      <c r="P75" s="109"/>
    </row>
    <row r="76" spans="2:16" ht="15" customHeight="1">
      <c r="B76" s="985" t="s">
        <v>673</v>
      </c>
      <c r="C76" s="135"/>
      <c r="D76" s="135"/>
      <c r="E76" s="472"/>
      <c r="F76" s="135"/>
      <c r="G76" s="135"/>
      <c r="H76" s="990">
        <f>E49</f>
        <v>2.2052556818181817</v>
      </c>
      <c r="I76" s="132"/>
      <c r="J76" s="112"/>
      <c r="K76" s="112"/>
      <c r="L76" s="113"/>
      <c r="M76" s="113"/>
      <c r="N76" s="113"/>
      <c r="O76" s="113"/>
      <c r="P76" s="109"/>
    </row>
    <row r="77" spans="2:16" ht="15" customHeight="1">
      <c r="B77" s="837" t="s">
        <v>514</v>
      </c>
      <c r="C77" s="919"/>
      <c r="D77" s="919"/>
      <c r="E77" s="987"/>
      <c r="F77" s="988"/>
      <c r="G77" s="919"/>
      <c r="H77" s="819">
        <f>H75+H76</f>
        <v>349.29320620868725</v>
      </c>
      <c r="I77" s="132"/>
      <c r="J77" s="112"/>
      <c r="K77" s="112"/>
      <c r="L77" s="113"/>
      <c r="M77" s="113"/>
      <c r="N77" s="113"/>
      <c r="O77" s="113"/>
      <c r="P77" s="109"/>
    </row>
    <row r="78" spans="2:16" ht="15" customHeight="1">
      <c r="B78" s="264"/>
      <c r="C78" s="469"/>
      <c r="D78" s="242"/>
      <c r="E78" s="469"/>
      <c r="F78" s="132"/>
      <c r="G78" s="132"/>
      <c r="H78" s="442"/>
      <c r="I78" s="132"/>
      <c r="J78" s="112"/>
      <c r="K78" s="112"/>
      <c r="L78" s="113"/>
      <c r="M78" s="113"/>
      <c r="N78" s="113"/>
      <c r="O78" s="113"/>
      <c r="P78" s="109"/>
    </row>
    <row r="79" spans="2:16">
      <c r="B79" s="132"/>
      <c r="C79" s="469"/>
      <c r="D79" s="469"/>
      <c r="E79" s="469"/>
      <c r="F79" s="132"/>
      <c r="G79" s="442"/>
      <c r="H79" s="442"/>
      <c r="I79" s="132"/>
      <c r="J79" s="112"/>
      <c r="K79" s="112"/>
      <c r="L79" s="111"/>
      <c r="M79" s="111"/>
      <c r="N79" s="111"/>
      <c r="O79" s="111"/>
      <c r="P79" s="109"/>
    </row>
    <row r="80" spans="2:16">
      <c r="B80" s="132"/>
      <c r="C80" s="132"/>
      <c r="D80" s="132"/>
      <c r="E80" s="132"/>
      <c r="F80" s="132"/>
      <c r="G80" s="442"/>
      <c r="H80" s="442"/>
      <c r="I80" s="132"/>
      <c r="J80" s="112"/>
      <c r="K80" s="112"/>
      <c r="L80" s="111"/>
      <c r="M80" s="111"/>
      <c r="N80" s="111"/>
      <c r="O80" s="111"/>
      <c r="P80" s="109"/>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election activeCell="J17" sqref="J17"/>
    </sheetView>
  </sheetViews>
  <sheetFormatPr baseColWidth="10" defaultRowHeight="15" x14ac:dyDescent="0"/>
  <cols>
    <col min="1" max="1" width="2.85546875" customWidth="1"/>
    <col min="2" max="4" width="11.85546875" customWidth="1"/>
  </cols>
  <sheetData>
    <row r="1" spans="1:15" s="5" customFormat="1" ht="18">
      <c r="C1" s="876"/>
      <c r="D1" s="876"/>
      <c r="E1" s="876"/>
      <c r="F1" s="876"/>
      <c r="G1" s="876"/>
      <c r="H1" s="876"/>
      <c r="I1" s="876"/>
    </row>
    <row r="2" spans="1:15" s="5" customFormat="1" ht="18">
      <c r="D2" s="876"/>
      <c r="E2" s="1076" t="s">
        <v>722</v>
      </c>
      <c r="F2" s="876"/>
      <c r="G2" s="876"/>
      <c r="H2" s="876"/>
      <c r="I2" s="876"/>
    </row>
    <row r="3" spans="1:15" s="5" customFormat="1" ht="18">
      <c r="B3" s="1037"/>
      <c r="D3" s="876"/>
      <c r="E3" s="1076" t="s">
        <v>745</v>
      </c>
      <c r="F3" s="876"/>
      <c r="G3" s="876"/>
      <c r="H3" s="876"/>
      <c r="I3" s="876"/>
    </row>
    <row r="4" spans="1:15" s="5" customFormat="1" ht="18">
      <c r="D4" s="876"/>
      <c r="E4" s="1076" t="s">
        <v>887</v>
      </c>
      <c r="F4" s="876"/>
      <c r="G4" s="876"/>
      <c r="H4" s="876"/>
      <c r="I4" s="876"/>
    </row>
    <row r="5" spans="1:15" s="5" customFormat="1" ht="18">
      <c r="D5" s="1035"/>
      <c r="F5" s="1036"/>
      <c r="G5" s="1036"/>
      <c r="H5" s="1036"/>
      <c r="I5" s="1036"/>
    </row>
    <row r="6" spans="1:15" s="5" customFormat="1" ht="17" customHeight="1">
      <c r="C6" s="1035"/>
      <c r="D6" s="1035"/>
      <c r="G6" s="1036"/>
      <c r="H6" s="1036"/>
      <c r="I6" s="1036"/>
    </row>
    <row r="7" spans="1:15" s="5" customFormat="1" ht="17" customHeight="1">
      <c r="C7" s="1035"/>
      <c r="D7" s="1035"/>
      <c r="F7" s="1077"/>
      <c r="G7" s="1036"/>
      <c r="H7" s="1036"/>
      <c r="I7" s="1036"/>
    </row>
    <row r="8" spans="1:15" s="5" customFormat="1" ht="17" customHeight="1">
      <c r="B8" s="1345" t="s">
        <v>943</v>
      </c>
      <c r="C8" s="1035"/>
      <c r="D8" s="1035"/>
      <c r="E8" s="1036"/>
      <c r="F8" s="1036"/>
      <c r="G8" s="1036"/>
      <c r="H8" s="1036"/>
      <c r="I8" s="1036"/>
    </row>
    <row r="9" spans="1:15" s="5" customFormat="1" ht="17" customHeight="1">
      <c r="B9" s="1077"/>
      <c r="C9" s="1035"/>
      <c r="D9" s="1035"/>
      <c r="E9" s="1036"/>
      <c r="F9" s="1036"/>
      <c r="G9" s="1036"/>
      <c r="H9" s="1036"/>
      <c r="I9" s="1036"/>
    </row>
    <row r="10" spans="1:15" s="5" customFormat="1" ht="21">
      <c r="B10" s="1050" t="s">
        <v>944</v>
      </c>
      <c r="C10" s="1035"/>
      <c r="D10" s="1035"/>
      <c r="E10" s="1036"/>
      <c r="F10" s="1036"/>
      <c r="G10" s="1036"/>
      <c r="H10" s="1036"/>
      <c r="I10" s="1036"/>
    </row>
    <row r="12" spans="1:15" s="5" customFormat="1">
      <c r="B12" s="1023" t="s">
        <v>731</v>
      </c>
      <c r="F12" s="605"/>
      <c r="J12" s="1049"/>
      <c r="K12" s="28"/>
      <c r="L12" s="28"/>
      <c r="M12" s="28"/>
      <c r="N12" s="28"/>
      <c r="O12" s="28"/>
    </row>
    <row r="13" spans="1:15" s="5" customFormat="1">
      <c r="A13" s="135"/>
      <c r="B13" s="605" t="s">
        <v>719</v>
      </c>
      <c r="J13" s="1049"/>
      <c r="K13" s="28"/>
      <c r="L13" s="28"/>
      <c r="M13" s="28"/>
      <c r="N13" s="28"/>
      <c r="O13" s="28"/>
    </row>
    <row r="14" spans="1:15" s="5" customFormat="1" ht="18">
      <c r="A14" s="135"/>
      <c r="B14" s="605" t="s">
        <v>752</v>
      </c>
      <c r="G14" s="42"/>
    </row>
    <row r="15" spans="1:15" s="5" customFormat="1" ht="18">
      <c r="A15" s="135"/>
      <c r="B15" s="1042"/>
      <c r="C15" s="135"/>
      <c r="D15" s="135"/>
      <c r="E15" s="135"/>
      <c r="G15" s="42"/>
    </row>
    <row r="16" spans="1:15" s="5" customFormat="1" ht="18" customHeight="1">
      <c r="B16" s="43" t="s">
        <v>746</v>
      </c>
      <c r="E16" s="263"/>
      <c r="F16" s="263"/>
      <c r="H16" s="263"/>
      <c r="I16" s="263"/>
      <c r="J16" s="263"/>
    </row>
    <row r="17" spans="1:12" s="5" customFormat="1">
      <c r="A17" s="135"/>
      <c r="B17" s="603" t="s">
        <v>624</v>
      </c>
      <c r="D17" s="1043" t="s">
        <v>741</v>
      </c>
      <c r="E17" s="263"/>
      <c r="H17" s="263"/>
      <c r="I17" s="263"/>
      <c r="J17" s="263"/>
    </row>
    <row r="18" spans="1:12" s="5" customFormat="1">
      <c r="A18" s="135"/>
      <c r="B18" s="605" t="s">
        <v>625</v>
      </c>
      <c r="D18" s="605" t="s">
        <v>221</v>
      </c>
    </row>
    <row r="19" spans="1:12" s="5" customFormat="1">
      <c r="A19" s="135"/>
      <c r="B19" s="605" t="s">
        <v>626</v>
      </c>
      <c r="D19" s="605" t="s">
        <v>103</v>
      </c>
    </row>
    <row r="20" spans="1:12" s="5" customFormat="1">
      <c r="A20" s="135"/>
      <c r="B20" s="605" t="s">
        <v>627</v>
      </c>
      <c r="D20" s="605" t="s">
        <v>511</v>
      </c>
    </row>
    <row r="21" spans="1:12" s="5" customFormat="1">
      <c r="A21" s="135"/>
      <c r="B21" s="605" t="s">
        <v>628</v>
      </c>
      <c r="D21" s="605" t="s">
        <v>520</v>
      </c>
    </row>
    <row r="22" spans="1:12" s="5" customFormat="1">
      <c r="A22" s="135"/>
      <c r="B22" s="605" t="s">
        <v>629</v>
      </c>
      <c r="D22" s="605" t="s">
        <v>880</v>
      </c>
    </row>
    <row r="23" spans="1:12" s="5" customFormat="1">
      <c r="A23" s="135"/>
      <c r="B23" s="605" t="s">
        <v>730</v>
      </c>
      <c r="D23" s="605" t="s">
        <v>912</v>
      </c>
    </row>
    <row r="24" spans="1:12" s="5" customFormat="1">
      <c r="A24" s="135"/>
      <c r="B24" s="605"/>
      <c r="C24" s="135"/>
      <c r="D24" s="135"/>
      <c r="E24" s="135"/>
      <c r="F24" s="605"/>
    </row>
    <row r="25" spans="1:12" s="5" customFormat="1">
      <c r="B25" s="1023" t="s">
        <v>715</v>
      </c>
      <c r="F25" s="605"/>
    </row>
    <row r="26" spans="1:12" s="560" customFormat="1" ht="18" customHeight="1">
      <c r="A26" s="5"/>
      <c r="B26" s="603" t="s">
        <v>104</v>
      </c>
      <c r="E26" s="5"/>
      <c r="F26" s="28"/>
      <c r="G26" s="603"/>
      <c r="H26" s="5"/>
      <c r="I26" s="561"/>
      <c r="J26" s="561"/>
      <c r="K26" s="561"/>
      <c r="L26" s="561"/>
    </row>
    <row r="27" spans="1:12" s="560" customFormat="1" ht="18" customHeight="1">
      <c r="A27" s="5"/>
      <c r="B27" s="603" t="s">
        <v>105</v>
      </c>
      <c r="E27" s="5"/>
      <c r="F27" s="28"/>
      <c r="G27" s="604"/>
      <c r="H27" s="5"/>
      <c r="I27" s="561"/>
      <c r="J27" s="561"/>
      <c r="K27" s="561"/>
      <c r="L27" s="561"/>
    </row>
    <row r="28" spans="1:12" s="560" customFormat="1" ht="18" customHeight="1">
      <c r="A28" s="5"/>
      <c r="B28" s="603" t="s">
        <v>6</v>
      </c>
      <c r="E28" s="5"/>
      <c r="F28" s="28"/>
      <c r="G28" s="603"/>
      <c r="H28" s="5"/>
      <c r="I28" s="561"/>
      <c r="J28" s="561"/>
      <c r="K28" s="561"/>
      <c r="L28" s="561"/>
    </row>
    <row r="29" spans="1:12" s="560" customFormat="1" ht="18" customHeight="1">
      <c r="A29" s="5"/>
      <c r="B29" s="603" t="s">
        <v>106</v>
      </c>
      <c r="E29" s="5"/>
      <c r="F29" s="28"/>
      <c r="G29" s="603"/>
      <c r="H29" s="5"/>
      <c r="I29" s="561"/>
      <c r="J29" s="561"/>
      <c r="K29" s="561"/>
      <c r="L29" s="561"/>
    </row>
    <row r="30" spans="1:12" s="560" customFormat="1" ht="18" customHeight="1">
      <c r="A30" s="5"/>
      <c r="B30" s="603" t="s">
        <v>7</v>
      </c>
      <c r="E30" s="5"/>
      <c r="F30" s="28"/>
      <c r="G30" s="603"/>
      <c r="H30" s="5"/>
      <c r="I30" s="561"/>
      <c r="J30" s="561"/>
      <c r="K30" s="561"/>
      <c r="L30" s="561"/>
    </row>
    <row r="31" spans="1:12" s="560" customFormat="1" ht="18" customHeight="1">
      <c r="A31" s="5"/>
      <c r="B31" s="603" t="s">
        <v>107</v>
      </c>
      <c r="E31" s="5"/>
      <c r="F31" s="28"/>
      <c r="G31" s="603"/>
      <c r="H31" s="5"/>
      <c r="I31" s="561"/>
      <c r="J31" s="561"/>
      <c r="K31" s="561"/>
      <c r="L31" s="561"/>
    </row>
    <row r="32" spans="1:12" s="560" customFormat="1" ht="18" customHeight="1">
      <c r="A32" s="5"/>
      <c r="B32" s="603" t="s">
        <v>108</v>
      </c>
      <c r="E32" s="5"/>
      <c r="F32" s="28"/>
      <c r="G32" s="603"/>
      <c r="H32" s="28"/>
      <c r="I32" s="561"/>
      <c r="J32" s="561"/>
      <c r="K32" s="561"/>
      <c r="L32" s="561"/>
    </row>
    <row r="33" spans="1:12" s="560" customFormat="1" ht="18" customHeight="1">
      <c r="A33" s="5"/>
      <c r="B33" s="603" t="s">
        <v>109</v>
      </c>
      <c r="E33" s="5"/>
      <c r="F33" s="28"/>
      <c r="G33" s="603"/>
      <c r="H33" s="28"/>
      <c r="I33" s="561"/>
      <c r="J33" s="561"/>
      <c r="K33" s="561"/>
      <c r="L33" s="561"/>
    </row>
    <row r="34" spans="1:12" s="560" customFormat="1" ht="18" customHeight="1">
      <c r="A34" s="5"/>
      <c r="B34" s="603" t="s">
        <v>110</v>
      </c>
      <c r="E34" s="5"/>
      <c r="F34" s="28"/>
      <c r="G34" s="603"/>
      <c r="H34" s="5"/>
      <c r="K34" s="561"/>
      <c r="L34" s="561"/>
    </row>
    <row r="35" spans="1:12" s="560" customFormat="1" ht="18" customHeight="1">
      <c r="A35" s="5"/>
      <c r="B35" s="603" t="s">
        <v>385</v>
      </c>
      <c r="E35" s="5"/>
      <c r="F35" s="28"/>
      <c r="G35" s="603"/>
      <c r="H35" s="5"/>
      <c r="K35" s="561"/>
      <c r="L35" s="561"/>
    </row>
    <row r="36" spans="1:12" s="560" customFormat="1" ht="18" customHeight="1">
      <c r="A36" s="5"/>
      <c r="B36" s="603" t="s">
        <v>112</v>
      </c>
      <c r="E36" s="5"/>
      <c r="F36" s="28"/>
      <c r="G36" s="603"/>
      <c r="H36" s="5"/>
      <c r="K36" s="561"/>
      <c r="L36" s="561"/>
    </row>
    <row r="37" spans="1:12" s="560" customFormat="1" ht="18" customHeight="1">
      <c r="A37" s="5"/>
      <c r="B37" s="603" t="s">
        <v>70</v>
      </c>
      <c r="E37" s="5"/>
      <c r="F37" s="28"/>
      <c r="G37" s="603"/>
      <c r="H37" s="5"/>
    </row>
    <row r="38" spans="1:12" s="560" customFormat="1" ht="18" customHeight="1">
      <c r="A38" s="5"/>
      <c r="B38" s="603" t="s">
        <v>123</v>
      </c>
      <c r="E38" s="5"/>
      <c r="F38" s="28"/>
      <c r="G38" s="603"/>
      <c r="H38" s="5"/>
    </row>
    <row r="39" spans="1:12" s="560" customFormat="1" ht="18" customHeight="1">
      <c r="A39" s="5"/>
      <c r="B39" s="603" t="s">
        <v>289</v>
      </c>
      <c r="E39" s="5"/>
      <c r="F39" s="28"/>
      <c r="G39" s="603"/>
      <c r="H39" s="5"/>
    </row>
    <row r="40" spans="1:12" s="560" customFormat="1" ht="18" customHeight="1">
      <c r="A40" s="5"/>
      <c r="B40" s="603" t="s">
        <v>122</v>
      </c>
      <c r="E40" s="5"/>
      <c r="F40" s="28"/>
      <c r="G40" s="603"/>
      <c r="H40" s="5"/>
    </row>
    <row r="41" spans="1:12" s="560" customFormat="1" ht="18" customHeight="1">
      <c r="A41" s="5"/>
      <c r="B41" s="603" t="s">
        <v>113</v>
      </c>
      <c r="E41" s="5"/>
      <c r="F41" s="28"/>
      <c r="G41" s="603"/>
      <c r="H41" s="5"/>
    </row>
    <row r="42" spans="1:12" s="560" customFormat="1" ht="18" customHeight="1">
      <c r="A42" s="5"/>
      <c r="B42" s="603" t="s">
        <v>386</v>
      </c>
      <c r="E42" s="5"/>
      <c r="F42" s="28"/>
      <c r="G42" s="603"/>
      <c r="H42" s="5"/>
    </row>
    <row r="43" spans="1:12" s="560" customFormat="1" ht="18" customHeight="1">
      <c r="A43" s="5"/>
      <c r="B43" s="603" t="s">
        <v>387</v>
      </c>
      <c r="E43" s="5"/>
      <c r="F43" s="28"/>
      <c r="G43" s="603"/>
      <c r="H43" s="5"/>
    </row>
    <row r="44" spans="1:12" s="560" customFormat="1" ht="18" customHeight="1">
      <c r="A44" s="5"/>
      <c r="B44" s="603" t="s">
        <v>282</v>
      </c>
      <c r="E44" s="5"/>
      <c r="F44" s="28"/>
      <c r="G44" s="603"/>
      <c r="H44" s="5"/>
    </row>
    <row r="45" spans="1:12" s="560" customFormat="1" ht="18" customHeight="1">
      <c r="A45" s="5"/>
      <c r="B45" s="603" t="s">
        <v>388</v>
      </c>
      <c r="E45" s="5"/>
      <c r="F45" s="28"/>
      <c r="G45" s="603"/>
      <c r="H45" s="5"/>
    </row>
    <row r="46" spans="1:12" s="560" customFormat="1" ht="18" customHeight="1">
      <c r="A46" s="5"/>
      <c r="B46" s="603" t="s">
        <v>118</v>
      </c>
      <c r="E46" s="5"/>
      <c r="F46" s="28"/>
      <c r="G46" s="603"/>
      <c r="H46" s="5"/>
    </row>
    <row r="47" spans="1:12" s="560" customFormat="1" ht="18" customHeight="1">
      <c r="A47" s="5"/>
      <c r="B47" s="603" t="s">
        <v>8</v>
      </c>
      <c r="E47" s="5"/>
      <c r="F47" s="28"/>
      <c r="G47" s="603"/>
      <c r="H47" s="5"/>
    </row>
    <row r="48" spans="1:12" s="560" customFormat="1" ht="18" customHeight="1">
      <c r="A48" s="5"/>
      <c r="B48" s="603" t="s">
        <v>125</v>
      </c>
      <c r="E48" s="5"/>
      <c r="F48" s="28"/>
      <c r="G48" s="603"/>
      <c r="H48" s="5"/>
    </row>
    <row r="49" spans="1:8" s="560" customFormat="1" ht="18" customHeight="1">
      <c r="A49" s="5"/>
      <c r="B49" s="603" t="s">
        <v>124</v>
      </c>
      <c r="E49" s="5"/>
      <c r="F49" s="28"/>
      <c r="G49" s="603"/>
      <c r="H49" s="5"/>
    </row>
    <row r="50" spans="1:8" s="560" customFormat="1" ht="18" customHeight="1">
      <c r="A50" s="5"/>
      <c r="B50" s="603" t="s">
        <v>204</v>
      </c>
      <c r="E50" s="5"/>
      <c r="F50" s="28"/>
      <c r="G50" s="603"/>
      <c r="H50" s="5"/>
    </row>
    <row r="51" spans="1:8" s="560" customFormat="1" ht="18" customHeight="1">
      <c r="A51" s="5"/>
      <c r="B51" s="603" t="s">
        <v>119</v>
      </c>
      <c r="E51" s="5"/>
      <c r="F51" s="28"/>
      <c r="G51" s="603"/>
      <c r="H51" s="5"/>
    </row>
    <row r="52" spans="1:8" s="560" customFormat="1" ht="18" customHeight="1">
      <c r="A52" s="5"/>
      <c r="B52" s="603" t="s">
        <v>120</v>
      </c>
      <c r="E52" s="5"/>
      <c r="F52" s="28"/>
      <c r="G52" s="603"/>
      <c r="H52" s="5"/>
    </row>
    <row r="53" spans="1:8" s="560" customFormat="1" ht="18" customHeight="1">
      <c r="A53" s="5"/>
      <c r="B53" s="603" t="s">
        <v>126</v>
      </c>
      <c r="E53" s="5"/>
      <c r="F53" s="28"/>
      <c r="G53" s="603"/>
      <c r="H53" s="5"/>
    </row>
    <row r="54" spans="1:8" s="560" customFormat="1" ht="18" customHeight="1">
      <c r="A54" s="5"/>
      <c r="B54" s="603" t="s">
        <v>121</v>
      </c>
      <c r="E54" s="5"/>
      <c r="F54" s="28"/>
      <c r="G54" s="603"/>
      <c r="H54" s="5"/>
    </row>
    <row r="55" spans="1:8" s="560" customFormat="1" ht="18" customHeight="1">
      <c r="A55" s="5"/>
      <c r="B55" s="603" t="s">
        <v>462</v>
      </c>
      <c r="E55" s="5"/>
      <c r="F55" s="28"/>
      <c r="G55" s="603"/>
      <c r="H55" s="5"/>
    </row>
  </sheetData>
  <sheetProtection sheet="1" objects="1" scenarios="1"/>
  <hyperlinks>
    <hyperlink ref="B26" location="'Beans, Green'!A1" display="Beans, Green"/>
    <hyperlink ref="B27" location="Beets!A1" display="Beets"/>
    <hyperlink ref="B28" location="Broccoli!A1" display="Broccoli"/>
    <hyperlink ref="B29" location="'Brussels Sprouts'!A1" display="Brussels Sprouts"/>
    <hyperlink ref="B30" location="Cabbage!A1" display="Cabbage"/>
    <hyperlink ref="B31" location="Carrots!A1" display="Carrots"/>
    <hyperlink ref="B32" location="Cauliflower!A1" display="Cauliflower"/>
    <hyperlink ref="B33" location="'Chard, Swiss'!A1" display="Chard, Swiss"/>
    <hyperlink ref="B34" location="'Corn, Sweet'!A1" display="Corn, Sweet"/>
    <hyperlink ref="B35" location="Cucumbers!A1" display="Cucumbers"/>
    <hyperlink ref="B36" location="Eggplant!A1" display="Eggplant"/>
    <hyperlink ref="B37" location="Garlic!A1" display="Garlic"/>
    <hyperlink ref="B39" location="'Greens, Salad'!A1" display="Greens, Salad"/>
    <hyperlink ref="B38" location="'Greens, KaleCollards'!A1" display="Greens, Kale/Collards"/>
    <hyperlink ref="B40" location="'Herbs, Summer Annual'!A1" display="Herbs, Summer Annual"/>
    <hyperlink ref="B41" location="Kohlrabi!A1" display="Kohlrabi"/>
    <hyperlink ref="B42" location="Leeks!A1" display="Leeks"/>
    <hyperlink ref="B43" location="'Lettuce, Head'!A1" display="Lettuce, Head"/>
    <hyperlink ref="B44" location="Muskmelon!A1" display="Muskmelon (Cantaloupe)"/>
    <hyperlink ref="B45" location="'Onions, Bulb'!A1" display="Onions, Bulb"/>
    <hyperlink ref="B46" location="Peppers!A1" display="Peppers"/>
    <hyperlink ref="B47" location="Potatoes!A1" display="Potatoes"/>
    <hyperlink ref="B48" location="'Potatoes, Sweet'!A1" display="Potatoes, Sweet"/>
    <hyperlink ref="B49" location="'Roots, RadishTurnip'!A1" display="Roots, Radish/Turnip"/>
    <hyperlink ref="B50" location="Scallions!A1" display="Scallions"/>
    <hyperlink ref="B51" location="'Squash, Summer'!A1" display="Squash, Summer"/>
    <hyperlink ref="B52" location="'Squash, Winter'!A1" display="Squash, Winter"/>
    <hyperlink ref="B53" location="Tomatoes!A1" display="Tomatoes"/>
    <hyperlink ref="B54" location="Watermelon!A1" display="Watermelon"/>
    <hyperlink ref="B55" location="'You-Pick'!A1" display="You-Pick"/>
    <hyperlink ref="B18" location="'BW2-Field Act. Labor &amp; Mach.'!A1" display="Budget Worksheet 2"/>
    <hyperlink ref="B19" location="'BW3-Variable Input'!A1" display="Budget Worksheet 3"/>
    <hyperlink ref="D19" location="'BW3-Variable Input'!A1" display="Variable Input Costs"/>
    <hyperlink ref="D18" location="'BW2-Field Act. Labor &amp; Mach.'!A1" display="Field Activity Labor and Machinery Costs"/>
    <hyperlink ref="B20" location="'BW4-Transplant Production'!A1" display="Budget Worksheet 4"/>
    <hyperlink ref="D20" location="'BW4-Transplant Production'!A1" display="Transplant Production Costs"/>
    <hyperlink ref="B21" location="'BW5-Irrigation'!A1" display="Budget Worksheet 5"/>
    <hyperlink ref="D21" location="'BW5-Irrigation'!A1" display="Irrigation Costs"/>
    <hyperlink ref="B22" location="'BW6-Harvest and Wash-Pack'!A1" display="Budget Worksheet 6"/>
    <hyperlink ref="D22" location="'BW6-Harvest and Wash-Pack'!A1" display="Harvest and Wash-Pack"/>
    <hyperlink ref="B23" location="'BW7-Yield'!A1" display="Budget Worksheet 7"/>
    <hyperlink ref="D23" location="'BW7-Yield'!A1" display="Implicit Price and Yield"/>
    <hyperlink ref="B17" location="'BW1-Bed and Row Spacing'!A1" display="Budget Worksheet 1"/>
    <hyperlink ref="B13" location="'Budget Summary'!A1" display="Organic Crop Enterprise Budget Summary"/>
    <hyperlink ref="D17" location="'BW1-Bed and Row Spacing'!A1" display="Bed and Row Spacing"/>
    <hyperlink ref="B14" location="'Detailed Summary of Crop Costs'!A1" display="Detailed Summary of Crop Production Costs "/>
  </hyperlink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T76"/>
  <sheetViews>
    <sheetView showGridLines="0" view="pageLayout" topLeftCell="A28" workbookViewId="0">
      <selection activeCell="B41" sqref="B41"/>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14.7109375" style="108" customWidth="1"/>
    <col min="11" max="11" width="8.42578125" style="108" customWidth="1"/>
    <col min="12" max="12" width="6.85546875" style="108" customWidth="1"/>
    <col min="13" max="13" width="14.42578125" style="108" customWidth="1"/>
    <col min="14" max="15" width="8.7109375" style="108"/>
    <col min="16" max="16" width="12.42578125" style="108" customWidth="1"/>
    <col min="17" max="19" width="8.7109375" style="108"/>
    <col min="20" max="20" width="11.5703125" style="108" customWidth="1"/>
    <col min="21" max="16384" width="8.7109375" style="108"/>
  </cols>
  <sheetData>
    <row r="1" spans="2:20" ht="16" thickBot="1">
      <c r="F1" s="563"/>
      <c r="G1" s="1263" t="s">
        <v>512</v>
      </c>
      <c r="H1" s="1264"/>
    </row>
    <row r="2" spans="2:20" ht="25" customHeight="1">
      <c r="B2" s="1024" t="str">
        <f>'Workbook Index'!B34</f>
        <v>Corn, Sweet</v>
      </c>
      <c r="C2" s="221"/>
      <c r="D2" s="221"/>
      <c r="E2" s="221"/>
      <c r="I2" s="564"/>
      <c r="J2" s="109"/>
      <c r="K2" s="109"/>
      <c r="L2" s="109"/>
      <c r="M2" s="109"/>
      <c r="N2" s="109"/>
      <c r="O2" s="109"/>
    </row>
    <row r="3" spans="2:20" ht="33.5" customHeight="1">
      <c r="B3" s="1027" t="s">
        <v>716</v>
      </c>
      <c r="C3" s="132" t="s">
        <v>367</v>
      </c>
      <c r="E3" s="222" t="s">
        <v>14</v>
      </c>
      <c r="F3"/>
      <c r="G3"/>
      <c r="H3"/>
      <c r="I3" s="130"/>
      <c r="J3" s="226"/>
      <c r="K3" s="226"/>
      <c r="L3" s="226"/>
      <c r="M3" s="109"/>
      <c r="N3" s="117"/>
      <c r="O3" s="129"/>
      <c r="P3" s="112"/>
      <c r="Q3" s="112"/>
      <c r="R3" s="112"/>
      <c r="S3" s="112"/>
      <c r="T3" s="112"/>
    </row>
    <row r="4" spans="2:20">
      <c r="B4" s="918"/>
      <c r="C4" s="132" t="s">
        <v>47</v>
      </c>
      <c r="D4" s="916"/>
      <c r="E4" s="1067">
        <f>'BW1-Bed and Row Spacing'!J16</f>
        <v>6701.5384615384619</v>
      </c>
      <c r="F4" s="135"/>
      <c r="G4" s="135"/>
      <c r="H4" s="135"/>
      <c r="I4" s="130"/>
      <c r="J4" s="226"/>
      <c r="K4" s="226"/>
      <c r="L4" s="226"/>
      <c r="M4" s="109"/>
      <c r="N4" s="110"/>
      <c r="O4" s="111"/>
      <c r="P4" s="112"/>
      <c r="Q4" s="112"/>
      <c r="R4" s="112"/>
      <c r="S4" s="112"/>
      <c r="T4" s="112"/>
    </row>
    <row r="5" spans="2:20">
      <c r="B5" s="915"/>
      <c r="C5" s="132" t="s">
        <v>366</v>
      </c>
      <c r="D5" s="916"/>
      <c r="E5" s="1338" t="s">
        <v>826</v>
      </c>
      <c r="F5" s="1338"/>
      <c r="G5" s="1338"/>
      <c r="H5" s="1338"/>
      <c r="I5" s="224"/>
      <c r="J5" s="225"/>
      <c r="K5" s="225"/>
      <c r="L5" s="225"/>
      <c r="M5" s="127"/>
      <c r="N5" s="110"/>
      <c r="O5" s="111"/>
      <c r="P5" s="112"/>
      <c r="Q5" s="112"/>
      <c r="R5" s="112"/>
      <c r="S5" s="112"/>
      <c r="T5" s="112"/>
    </row>
    <row r="6" spans="2:20">
      <c r="B6" s="223"/>
      <c r="C6" s="915"/>
      <c r="D6" s="916"/>
      <c r="E6" s="1338"/>
      <c r="F6" s="1338"/>
      <c r="G6" s="1338"/>
      <c r="H6" s="1338"/>
      <c r="I6" s="225"/>
      <c r="N6" s="112"/>
      <c r="O6" s="112"/>
      <c r="P6" s="112"/>
      <c r="Q6" s="112"/>
    </row>
    <row r="7" spans="2:20">
      <c r="B7" s="1032"/>
      <c r="C7" s="1033"/>
      <c r="D7" s="1033"/>
      <c r="E7" s="1033"/>
      <c r="F7" s="1033"/>
      <c r="G7" s="1033"/>
      <c r="H7" s="1033"/>
    </row>
    <row r="8" spans="2:20">
      <c r="B8" s="553" t="s">
        <v>517</v>
      </c>
      <c r="C8" s="492"/>
      <c r="D8" s="492"/>
      <c r="E8" s="492"/>
      <c r="F8" s="492"/>
      <c r="G8" s="492"/>
      <c r="H8" s="492"/>
      <c r="I8" s="109"/>
    </row>
    <row r="9" spans="2:20" customFormat="1" ht="33" customHeight="1">
      <c r="B9" s="420" t="s">
        <v>711</v>
      </c>
      <c r="C9" s="421" t="s">
        <v>707</v>
      </c>
      <c r="D9" s="421" t="s">
        <v>708</v>
      </c>
      <c r="E9" s="421" t="s">
        <v>709</v>
      </c>
      <c r="F9" s="421" t="s">
        <v>710</v>
      </c>
      <c r="G9" s="919"/>
      <c r="H9" s="920"/>
      <c r="M9" s="112"/>
      <c r="N9" s="112"/>
      <c r="O9" s="112"/>
      <c r="P9" s="6"/>
      <c r="Q9" s="6"/>
    </row>
    <row r="10" spans="2:20" customFormat="1" ht="30">
      <c r="B10" s="993" t="s">
        <v>516</v>
      </c>
      <c r="C10" s="991" t="s">
        <v>849</v>
      </c>
      <c r="D10" s="991" t="s">
        <v>849</v>
      </c>
      <c r="E10" s="991" t="s">
        <v>849</v>
      </c>
      <c r="F10" s="991" t="s">
        <v>850</v>
      </c>
      <c r="G10" s="992"/>
      <c r="H10" s="462"/>
      <c r="M10" s="112"/>
      <c r="N10" s="112"/>
      <c r="O10" s="6"/>
      <c r="P10" s="6"/>
    </row>
    <row r="11" spans="2:20" ht="16" customHeight="1">
      <c r="B11" s="922" t="s">
        <v>181</v>
      </c>
      <c r="C11" s="514"/>
      <c r="D11" s="522"/>
      <c r="E11" s="522"/>
      <c r="F11" s="528"/>
      <c r="G11" s="509"/>
      <c r="H11" s="509"/>
      <c r="I11" s="404"/>
      <c r="J11" s="110"/>
      <c r="K11" s="122"/>
      <c r="L11" s="121"/>
      <c r="M11" s="112"/>
      <c r="N11" s="112"/>
      <c r="O11" s="112"/>
      <c r="P11" s="112"/>
    </row>
    <row r="12" spans="2:20" ht="15" customHeight="1">
      <c r="B12" s="265" t="s">
        <v>145</v>
      </c>
      <c r="C12" s="512">
        <f>'BW2-Field Act. Labor &amp; Mach.'!I9</f>
        <v>9.23447</v>
      </c>
      <c r="D12" s="520">
        <f>'BW2-Field Act. Labor &amp; Mach.'!K9</f>
        <v>7.1626812745625896</v>
      </c>
      <c r="E12" s="520">
        <f>'BW2-Field Act. Labor &amp; Mach.'!L9</f>
        <v>6.5697668891297312</v>
      </c>
      <c r="F12" s="526"/>
      <c r="G12" s="465"/>
      <c r="H12" s="465"/>
      <c r="I12" s="466"/>
      <c r="J12" s="5"/>
      <c r="K12" s="112"/>
      <c r="L12" s="118"/>
      <c r="M12" s="118"/>
      <c r="N12" s="112"/>
      <c r="O12" s="112"/>
      <c r="P12" s="112"/>
    </row>
    <row r="13" spans="2:20" ht="15" customHeight="1">
      <c r="B13" s="132" t="s">
        <v>46</v>
      </c>
      <c r="C13" s="512">
        <f>'BW2-Field Act. Labor &amp; Mach.'!I10</f>
        <v>11.87289</v>
      </c>
      <c r="D13" s="520">
        <f>'BW2-Field Act. Labor &amp; Mach.'!K10</f>
        <v>16.900081383311999</v>
      </c>
      <c r="E13" s="520">
        <f>'BW2-Field Act. Labor &amp; Mach.'!L10</f>
        <v>23.703168100043012</v>
      </c>
      <c r="F13" s="526"/>
      <c r="G13" s="133"/>
      <c r="H13" s="465"/>
      <c r="I13" s="466"/>
      <c r="J13" s="5"/>
      <c r="K13" s="112"/>
      <c r="L13" s="112"/>
      <c r="M13" s="112"/>
      <c r="N13" s="118"/>
      <c r="O13" s="112"/>
      <c r="P13" s="112"/>
    </row>
    <row r="14" spans="2:20" ht="15" customHeight="1">
      <c r="B14" s="151" t="s">
        <v>69</v>
      </c>
      <c r="C14" s="512"/>
      <c r="D14" s="520"/>
      <c r="E14" s="520"/>
      <c r="F14" s="526">
        <f>'BW3-Variable Input'!C9</f>
        <v>116.66666666666667</v>
      </c>
      <c r="G14" s="133"/>
      <c r="H14" s="465"/>
      <c r="I14" s="466"/>
      <c r="J14" s="5"/>
      <c r="K14" s="112"/>
      <c r="L14" s="112"/>
      <c r="M14" s="112"/>
      <c r="N14" s="118"/>
      <c r="O14" s="112"/>
      <c r="P14" s="112"/>
    </row>
    <row r="15" spans="2:20" ht="15" customHeight="1">
      <c r="B15" s="473" t="s">
        <v>11</v>
      </c>
      <c r="C15" s="512">
        <f>'BW2-Field Act. Labor &amp; Mach.'!I13</f>
        <v>22.426569999999998</v>
      </c>
      <c r="D15" s="520">
        <f>'BW2-Field Act. Labor &amp; Mach.'!K13</f>
        <v>17.993866831056</v>
      </c>
      <c r="E15" s="520">
        <f>'BW2-Field Act. Labor &amp; Mach.'!L13</f>
        <v>44.771770188886023</v>
      </c>
      <c r="F15" s="526"/>
      <c r="G15" s="133"/>
      <c r="H15" s="463"/>
      <c r="I15" s="466"/>
      <c r="J15" s="5"/>
      <c r="K15" s="112"/>
      <c r="L15" s="112"/>
      <c r="M15" s="112"/>
      <c r="N15" s="118"/>
      <c r="O15" s="112"/>
      <c r="P15" s="112"/>
    </row>
    <row r="16" spans="2:20" ht="15" customHeight="1">
      <c r="B16" s="132" t="str">
        <f>'BW2-Field Act. Labor &amp; Mach.'!B12</f>
        <v>Field cultivate</v>
      </c>
      <c r="C16" s="512">
        <f>'BW2-Field Act. Labor &amp; Mach.'!I12</f>
        <v>6.59605</v>
      </c>
      <c r="D16" s="520">
        <f>'BW2-Field Act. Labor &amp; Mach.'!K12</f>
        <v>3.7281613670297151</v>
      </c>
      <c r="E16" s="520">
        <f>'BW2-Field Act. Labor &amp; Mach.'!L12</f>
        <v>3.4161206017736747</v>
      </c>
      <c r="F16" s="526"/>
      <c r="G16" s="133"/>
      <c r="H16" s="463"/>
      <c r="I16" s="466"/>
      <c r="J16" s="5"/>
      <c r="K16" s="112"/>
      <c r="L16" s="112"/>
      <c r="M16" s="112"/>
      <c r="N16" s="112"/>
      <c r="O16" s="112"/>
      <c r="P16" s="112"/>
    </row>
    <row r="17" spans="2:16" ht="15" customHeight="1">
      <c r="B17" s="132" t="s">
        <v>193</v>
      </c>
      <c r="C17" s="512"/>
      <c r="D17" s="520">
        <f>'BW2-Field Act. Labor &amp; Mach.'!K14</f>
        <v>9.2140341759999984</v>
      </c>
      <c r="E17" s="520">
        <f>'BW2-Field Act. Labor &amp; Mach.'!L14</f>
        <v>29.935417361494395</v>
      </c>
      <c r="F17" s="526"/>
      <c r="G17" s="133"/>
      <c r="H17" s="463"/>
      <c r="I17" s="466"/>
      <c r="J17" s="5"/>
      <c r="K17" s="112"/>
      <c r="L17" s="112"/>
      <c r="M17" s="112"/>
      <c r="N17" s="112"/>
      <c r="O17" s="112"/>
      <c r="P17" s="112"/>
    </row>
    <row r="18" spans="2:16" ht="15" customHeight="1">
      <c r="B18" s="132" t="s">
        <v>144</v>
      </c>
      <c r="C18" s="512">
        <f>'BW2-Field Act. Labor &amp; Mach.'!I15</f>
        <v>59.364449999999998</v>
      </c>
      <c r="D18" s="520">
        <f>'BW2-Field Act. Labor &amp; Mach.'!K15</f>
        <v>11.732543673988348</v>
      </c>
      <c r="E18" s="520">
        <f>'BW2-Field Act. Labor &amp; Mach.'!L15</f>
        <v>19.938595491388046</v>
      </c>
      <c r="F18" s="526"/>
      <c r="G18" s="133"/>
      <c r="H18" s="463"/>
      <c r="I18" s="466"/>
      <c r="J18" s="5"/>
      <c r="K18" s="118"/>
      <c r="L18" s="118"/>
      <c r="M18" s="118"/>
      <c r="N18" s="112"/>
      <c r="O18" s="112"/>
      <c r="P18" s="112"/>
    </row>
    <row r="19" spans="2:16" ht="15" customHeight="1">
      <c r="B19" s="151" t="s">
        <v>313</v>
      </c>
      <c r="C19" s="512"/>
      <c r="D19" s="520"/>
      <c r="E19" s="520"/>
      <c r="F19" s="526">
        <f>'BW3-Variable Input'!C23</f>
        <v>125.09538461538463</v>
      </c>
      <c r="G19" s="133"/>
      <c r="H19" s="463"/>
      <c r="I19" s="466"/>
      <c r="J19" s="5"/>
      <c r="K19" s="112"/>
      <c r="L19" s="112"/>
      <c r="M19" s="112"/>
      <c r="N19" s="112"/>
      <c r="O19" s="112"/>
      <c r="P19" s="112"/>
    </row>
    <row r="20" spans="2:16" ht="15" customHeight="1">
      <c r="B20" s="416" t="s">
        <v>192</v>
      </c>
      <c r="C20" s="513">
        <f>'BW2-Field Act. Labor &amp; Mach.'!I16*2</f>
        <v>21.10736</v>
      </c>
      <c r="D20" s="521">
        <f>'BW2-Field Act. Labor &amp; Mach.'!K16*2</f>
        <v>12.051200395575469</v>
      </c>
      <c r="E20" s="521">
        <f>'BW2-Field Act. Labor &amp; Mach.'!L16*2</f>
        <v>17.332156747393537</v>
      </c>
      <c r="F20" s="527"/>
      <c r="G20" s="486"/>
      <c r="H20" s="485"/>
      <c r="I20" s="466"/>
      <c r="J20" s="5"/>
      <c r="K20" s="112"/>
      <c r="L20" s="112"/>
      <c r="M20" s="112"/>
      <c r="N20" s="112"/>
      <c r="O20" s="112"/>
      <c r="P20" s="112"/>
    </row>
    <row r="21" spans="2:16" ht="15" customHeight="1">
      <c r="B21" s="132"/>
      <c r="C21" s="133"/>
      <c r="D21" s="133"/>
      <c r="E21" s="133"/>
      <c r="F21" s="133"/>
      <c r="G21" s="133"/>
      <c r="H21" s="466"/>
      <c r="I21" s="466"/>
      <c r="J21" s="5"/>
      <c r="K21" s="112"/>
      <c r="L21" s="112"/>
      <c r="M21" s="112"/>
      <c r="N21" s="112"/>
      <c r="O21" s="112"/>
      <c r="P21" s="112"/>
    </row>
    <row r="22" spans="2:16" ht="15" customHeight="1">
      <c r="B22" s="921" t="s">
        <v>10</v>
      </c>
      <c r="C22" s="515"/>
      <c r="D22" s="438"/>
      <c r="E22" s="438"/>
      <c r="F22" s="529"/>
      <c r="G22" s="422"/>
      <c r="H22" s="494"/>
      <c r="I22" s="466"/>
      <c r="J22" s="110"/>
      <c r="K22" s="112"/>
      <c r="L22" s="112"/>
      <c r="M22" s="112"/>
      <c r="N22" s="112"/>
      <c r="O22" s="112"/>
      <c r="P22" s="112"/>
    </row>
    <row r="23" spans="2:16" ht="15" customHeight="1">
      <c r="B23" s="473" t="s">
        <v>321</v>
      </c>
      <c r="C23" s="516">
        <f>'BW2-Field Act. Labor &amp; Mach.'!I20</f>
        <v>52.7684</v>
      </c>
      <c r="D23" s="520">
        <f>'BW2-Field Act. Labor &amp; Mach.'!K20</f>
        <v>17.196459355934465</v>
      </c>
      <c r="E23" s="520">
        <f>'BW2-Field Act. Labor &amp; Mach.'!L20</f>
        <v>40.179586989352146</v>
      </c>
      <c r="F23" s="526"/>
      <c r="G23" s="133"/>
      <c r="H23" s="463"/>
      <c r="I23" s="466"/>
      <c r="J23" s="110"/>
      <c r="K23" s="112"/>
      <c r="L23" s="112"/>
      <c r="M23" s="112"/>
      <c r="N23" s="112"/>
      <c r="O23" s="112"/>
      <c r="P23" s="112"/>
    </row>
    <row r="24" spans="2:16" ht="15" customHeight="1">
      <c r="B24" s="151" t="s">
        <v>315</v>
      </c>
      <c r="C24" s="516"/>
      <c r="D24" s="520"/>
      <c r="E24" s="520"/>
      <c r="F24" s="526">
        <f>('BW3-Variable Input'!C10)</f>
        <v>124</v>
      </c>
      <c r="G24" s="133"/>
      <c r="H24" s="463"/>
      <c r="I24" s="466"/>
      <c r="J24" s="110"/>
      <c r="K24" s="112"/>
      <c r="L24" s="112"/>
      <c r="M24" s="112"/>
      <c r="N24" s="112"/>
      <c r="O24" s="112"/>
      <c r="P24" s="112"/>
    </row>
    <row r="25" spans="2:16" ht="15" customHeight="1">
      <c r="B25" s="418" t="s">
        <v>65</v>
      </c>
      <c r="C25" s="513"/>
      <c r="D25" s="521"/>
      <c r="E25" s="521"/>
      <c r="F25" s="527">
        <f>'BW3-Variable Input'!H165</f>
        <v>80.418461538461543</v>
      </c>
      <c r="G25" s="486"/>
      <c r="H25" s="485"/>
      <c r="I25" s="466"/>
      <c r="J25" s="110"/>
      <c r="K25" s="112"/>
      <c r="L25" s="112"/>
      <c r="M25" s="112"/>
      <c r="N25" s="112"/>
      <c r="O25" s="112"/>
      <c r="P25" s="112"/>
    </row>
    <row r="26" spans="2:16" ht="15" customHeight="1">
      <c r="B26" s="132"/>
      <c r="C26" s="133"/>
      <c r="D26" s="133"/>
      <c r="E26" s="133"/>
      <c r="F26" s="133"/>
      <c r="G26" s="133"/>
      <c r="H26" s="466"/>
      <c r="I26" s="466"/>
      <c r="J26" s="110"/>
      <c r="K26" s="112"/>
      <c r="L26" s="112"/>
      <c r="M26" s="112"/>
      <c r="N26" s="112"/>
      <c r="O26" s="112"/>
      <c r="P26" s="112"/>
    </row>
    <row r="27" spans="2:16" ht="15" customHeight="1">
      <c r="B27" s="921" t="s">
        <v>37</v>
      </c>
      <c r="C27" s="515"/>
      <c r="D27" s="438"/>
      <c r="E27" s="438"/>
      <c r="F27" s="529"/>
      <c r="G27" s="422"/>
      <c r="H27" s="422"/>
      <c r="I27" s="466"/>
      <c r="J27" s="110"/>
      <c r="K27" s="112"/>
      <c r="L27" s="118"/>
      <c r="M27" s="112"/>
      <c r="N27" s="112"/>
      <c r="O27" s="112"/>
      <c r="P27" s="112"/>
    </row>
    <row r="28" spans="2:16" ht="15" customHeight="1">
      <c r="B28" s="462" t="s">
        <v>179</v>
      </c>
      <c r="C28" s="512">
        <f>'BW2-Field Act. Labor &amp; Mach.'!$I$31*2</f>
        <v>10.55368</v>
      </c>
      <c r="D28" s="520">
        <f>'BW2-Field Act. Labor &amp; Mach.'!K31*2</f>
        <v>1.6570295666513035</v>
      </c>
      <c r="E28" s="520">
        <f>'BW2-Field Act. Labor &amp; Mach.'!L31*2</f>
        <v>27.363002680965153</v>
      </c>
      <c r="F28" s="526"/>
      <c r="G28" s="133"/>
      <c r="H28" s="133"/>
      <c r="I28" s="466"/>
      <c r="J28" s="110"/>
      <c r="K28" s="112"/>
      <c r="L28" s="118"/>
      <c r="M28" s="112"/>
      <c r="N28" s="112"/>
      <c r="O28" s="112"/>
      <c r="P28" s="112"/>
    </row>
    <row r="29" spans="2:16" ht="15" customHeight="1">
      <c r="B29" s="151" t="str">
        <f>'BW5-Irrigation'!$B$8</f>
        <v>Irrigation supply cost</v>
      </c>
      <c r="C29" s="512"/>
      <c r="D29" s="520"/>
      <c r="E29" s="520"/>
      <c r="F29" s="526">
        <f>'BW5-Irrigation'!$E$8</f>
        <v>32.773534158149545</v>
      </c>
      <c r="G29" s="1029" t="s">
        <v>851</v>
      </c>
      <c r="H29" s="463"/>
      <c r="I29" s="236"/>
      <c r="J29" s="115"/>
      <c r="K29" s="118"/>
      <c r="L29" s="118"/>
      <c r="M29" s="118"/>
      <c r="N29" s="112"/>
      <c r="O29" s="112"/>
      <c r="P29" s="112"/>
    </row>
    <row r="30" spans="2:16" ht="15" customHeight="1">
      <c r="B30" s="132" t="str">
        <f>'BW5-Irrigation'!$B$9</f>
        <v>Irrigation set-up labor cost</v>
      </c>
      <c r="C30" s="512">
        <f>'BW5-Irrigation'!$E$9</f>
        <v>50.735370890410955</v>
      </c>
      <c r="D30" s="520"/>
      <c r="E30" s="520"/>
      <c r="F30" s="526"/>
      <c r="G30" s="1029" t="s">
        <v>851</v>
      </c>
      <c r="H30" s="463"/>
      <c r="I30" s="236"/>
      <c r="J30" s="115"/>
      <c r="K30" s="118"/>
      <c r="L30" s="118"/>
      <c r="M30" s="118"/>
      <c r="N30" s="112"/>
      <c r="O30" s="112"/>
      <c r="P30" s="112"/>
    </row>
    <row r="31" spans="2:16" ht="15" customHeight="1">
      <c r="B31" s="132" t="s">
        <v>294</v>
      </c>
      <c r="C31" s="512">
        <f>'BW2-Field Act. Labor &amp; Mach.'!I39*'BW5-Irrigation'!C21</f>
        <v>158.30520000000001</v>
      </c>
      <c r="D31" s="520"/>
      <c r="E31" s="520"/>
      <c r="F31" s="526"/>
      <c r="G31" s="133"/>
      <c r="H31" s="463"/>
      <c r="I31" s="466"/>
      <c r="J31" s="115"/>
      <c r="K31" s="112"/>
      <c r="L31" s="118"/>
      <c r="M31" s="112"/>
      <c r="N31" s="112"/>
      <c r="O31" s="112"/>
      <c r="P31" s="112"/>
    </row>
    <row r="32" spans="2:16" ht="15" customHeight="1">
      <c r="B32" s="462" t="s">
        <v>230</v>
      </c>
      <c r="C32" s="517">
        <v>6.6</v>
      </c>
      <c r="D32" s="523">
        <f>'BW2-Field Act. Labor &amp; Mach.'!K32</f>
        <v>0.70423756582680397</v>
      </c>
      <c r="E32" s="523">
        <f>'BW2-Field Act. Labor &amp; Mach.'!L32</f>
        <v>11.629276139410191</v>
      </c>
      <c r="F32" s="530"/>
      <c r="G32" s="133"/>
      <c r="H32" s="133"/>
      <c r="I32" s="466"/>
      <c r="J32" s="110"/>
      <c r="K32" s="112"/>
      <c r="L32" s="118"/>
      <c r="M32" s="112"/>
      <c r="N32" s="112"/>
      <c r="O32" s="112"/>
      <c r="P32" s="112"/>
    </row>
    <row r="33" spans="2:20" ht="15" customHeight="1">
      <c r="B33" s="482" t="s">
        <v>308</v>
      </c>
      <c r="C33" s="517"/>
      <c r="D33" s="523"/>
      <c r="E33" s="523"/>
      <c r="F33" s="530">
        <v>8.8000000000000007</v>
      </c>
      <c r="G33" s="133"/>
      <c r="H33" s="133"/>
      <c r="I33" s="466"/>
      <c r="J33" s="110"/>
      <c r="K33" s="112"/>
      <c r="L33" s="118"/>
      <c r="M33" s="112"/>
      <c r="N33" s="112"/>
      <c r="O33" s="112"/>
      <c r="P33" s="112"/>
    </row>
    <row r="34" spans="2:20" ht="15" customHeight="1">
      <c r="B34" s="462" t="s">
        <v>194</v>
      </c>
      <c r="C34" s="512">
        <f>'BW2-Field Act. Labor &amp; Mach.'!$I$28*2</f>
        <v>21.10736</v>
      </c>
      <c r="D34" s="520">
        <f>'BW2-Field Act. Labor &amp; Mach.'!K28*2</f>
        <v>8.7132183142146751</v>
      </c>
      <c r="E34" s="520">
        <f>'BW2-Field Act. Labor &amp; Mach.'!L28*2</f>
        <v>23.101468332237562</v>
      </c>
      <c r="F34" s="526"/>
      <c r="G34" s="133"/>
      <c r="H34" s="463"/>
      <c r="I34" s="466"/>
      <c r="J34" s="115"/>
      <c r="K34" s="112"/>
      <c r="L34" s="118"/>
      <c r="M34" s="112"/>
      <c r="N34" s="112"/>
      <c r="O34" s="112"/>
      <c r="P34" s="112"/>
    </row>
    <row r="35" spans="2:20" ht="15" customHeight="1">
      <c r="B35" s="462" t="str">
        <f>'BW2-Field Act. Labor &amp; Mach.'!$B$34</f>
        <v>Scuffle hoe</v>
      </c>
      <c r="C35" s="512">
        <f>'BW2-Field Act. Labor &amp; Mach.'!$I$34</f>
        <v>98.940749999999994</v>
      </c>
      <c r="D35" s="520"/>
      <c r="E35" s="520"/>
      <c r="F35" s="526"/>
      <c r="G35" s="133"/>
      <c r="H35" s="463"/>
      <c r="I35" s="466"/>
      <c r="J35" s="110"/>
      <c r="K35" s="112"/>
      <c r="L35" s="112"/>
      <c r="M35" s="113"/>
      <c r="N35" s="113"/>
      <c r="O35" s="113"/>
      <c r="P35" s="113"/>
      <c r="Q35" s="109"/>
    </row>
    <row r="36" spans="2:20" ht="15" customHeight="1">
      <c r="B36" s="462" t="s">
        <v>138</v>
      </c>
      <c r="C36" s="512">
        <f>'BW2-Field Act. Labor &amp; Mach.'!$I$29</f>
        <v>31.66104</v>
      </c>
      <c r="D36" s="520">
        <f>'BW2-Field Act. Labor &amp; Mach.'!K29</f>
        <v>9.4246701390025667</v>
      </c>
      <c r="E36" s="520">
        <f>'BW2-Field Act. Labor &amp; Mach.'!L29</f>
        <v>25.827424012158055</v>
      </c>
      <c r="F36" s="526"/>
      <c r="G36" s="133"/>
      <c r="H36" s="463"/>
      <c r="I36" s="466"/>
      <c r="J36" s="115"/>
      <c r="K36" s="112"/>
      <c r="L36" s="118"/>
      <c r="M36" s="112"/>
      <c r="N36" s="112"/>
      <c r="O36" s="112"/>
      <c r="P36" s="112"/>
    </row>
    <row r="37" spans="2:20" ht="15" customHeight="1">
      <c r="B37" s="462" t="s">
        <v>328</v>
      </c>
      <c r="C37" s="512">
        <f>'BW2-Field Act. Labor &amp; Mach.'!I37*2</f>
        <v>26.3842</v>
      </c>
      <c r="D37" s="520">
        <f>'BW2-Field Act. Labor &amp; Mach.'!K37*2</f>
        <v>20.364443290520065</v>
      </c>
      <c r="E37" s="520">
        <f>'BW2-Field Act. Labor &amp; Mach.'!L37*2</f>
        <v>26.209866197852165</v>
      </c>
      <c r="F37" s="526"/>
      <c r="G37" s="133"/>
      <c r="H37" s="479"/>
      <c r="I37" s="468"/>
      <c r="J37" s="228"/>
      <c r="K37" s="228"/>
      <c r="L37"/>
      <c r="M37"/>
      <c r="N37"/>
      <c r="O37"/>
      <c r="P37"/>
      <c r="Q37"/>
      <c r="R37"/>
      <c r="S37"/>
      <c r="T37"/>
    </row>
    <row r="38" spans="2:20" ht="15" customHeight="1">
      <c r="B38" s="419" t="s">
        <v>501</v>
      </c>
      <c r="C38" s="513"/>
      <c r="D38" s="521"/>
      <c r="E38" s="521"/>
      <c r="F38" s="527">
        <f>'BW3-Variable Input'!C56</f>
        <v>60.738229191321501</v>
      </c>
      <c r="G38" s="489"/>
      <c r="H38" s="485"/>
      <c r="I38" s="466"/>
      <c r="J38" s="115"/>
      <c r="K38" s="112"/>
      <c r="L38" s="118"/>
      <c r="M38" s="112"/>
      <c r="N38" s="112"/>
      <c r="O38" s="112"/>
      <c r="P38" s="112"/>
    </row>
    <row r="39" spans="2:20" s="453" customFormat="1" ht="15" customHeight="1">
      <c r="B39" s="824" t="s">
        <v>508</v>
      </c>
      <c r="C39" s="444">
        <f>SUM(C12:C20, C23:C25,C28:C38)</f>
        <v>587.65779089041087</v>
      </c>
      <c r="D39" s="444">
        <f>SUM(D12:D20, D23:D25,D28:D38)</f>
        <v>136.84262733367399</v>
      </c>
      <c r="E39" s="444">
        <f>SUM(E12:E20, E23:E25,E28:E38)</f>
        <v>299.97761973208367</v>
      </c>
      <c r="F39" s="444">
        <f>SUM(F12:F20, F23:F25,F28:F38)</f>
        <v>548.49227616998394</v>
      </c>
      <c r="G39" s="445" t="s">
        <v>4</v>
      </c>
      <c r="H39" s="446">
        <f>SUM(C39:F39)</f>
        <v>1572.9703141261525</v>
      </c>
      <c r="J39" s="117"/>
      <c r="K39" s="476"/>
      <c r="L39" s="476"/>
      <c r="M39" s="477"/>
      <c r="N39" s="477"/>
      <c r="O39" s="477"/>
      <c r="P39" s="477"/>
      <c r="Q39" s="475"/>
    </row>
    <row r="40" spans="2:20" s="120" customFormat="1" ht="15" customHeight="1">
      <c r="B40" s="593"/>
      <c r="C40" s="133"/>
      <c r="D40" s="133"/>
      <c r="E40" s="133"/>
      <c r="F40" s="133"/>
      <c r="G40" s="924"/>
      <c r="H40" s="265"/>
    </row>
    <row r="41" spans="2:20" s="119" customFormat="1" ht="15" customHeight="1">
      <c r="B41" s="116" t="s">
        <v>914</v>
      </c>
      <c r="C41" s="133"/>
      <c r="D41" s="133"/>
      <c r="E41" s="133"/>
      <c r="F41" s="133"/>
      <c r="G41" s="924"/>
      <c r="H41" s="265"/>
      <c r="J41" s="120"/>
    </row>
    <row r="42" spans="2:20" ht="15" customHeight="1">
      <c r="B42" s="921" t="s">
        <v>3</v>
      </c>
      <c r="C42" s="514"/>
      <c r="D42" s="522"/>
      <c r="E42" s="522"/>
      <c r="F42" s="528"/>
      <c r="G42" s="983"/>
      <c r="H42" s="491"/>
      <c r="J42" s="109"/>
      <c r="K42" s="112"/>
      <c r="L42" s="112"/>
      <c r="M42" s="113"/>
      <c r="N42" s="113"/>
      <c r="O42" s="113"/>
      <c r="P42" s="113"/>
      <c r="Q42" s="109"/>
    </row>
    <row r="43" spans="2:20" ht="15" customHeight="1">
      <c r="B43" s="132" t="s">
        <v>182</v>
      </c>
      <c r="C43" s="512">
        <f>'BW6-Harvest and Wash-Pack'!D16</f>
        <v>263.84199999999998</v>
      </c>
      <c r="D43" s="520">
        <f>'BW2-Field Act. Labor &amp; Mach.'!K54</f>
        <v>0.13284863512476036</v>
      </c>
      <c r="E43" s="520">
        <f>'BW2-Field Act. Labor &amp; Mach.'!L54</f>
        <v>0.73508522727272718</v>
      </c>
      <c r="F43" s="526"/>
      <c r="G43" s="1029" t="s">
        <v>852</v>
      </c>
      <c r="H43" s="265"/>
      <c r="J43" s="109"/>
      <c r="K43" s="118"/>
      <c r="L43" s="112"/>
      <c r="M43" s="113"/>
      <c r="N43" s="113"/>
      <c r="O43" s="113"/>
      <c r="P43" s="113"/>
      <c r="Q43" s="109"/>
    </row>
    <row r="44" spans="2:20" ht="15" customHeight="1">
      <c r="B44" s="416" t="s">
        <v>349</v>
      </c>
      <c r="C44" s="513">
        <f>'BW6-Harvest and Wash-Pack'!F16</f>
        <v>112.13285</v>
      </c>
      <c r="D44" s="521"/>
      <c r="E44" s="521"/>
      <c r="F44" s="527"/>
      <c r="G44" s="1030" t="s">
        <v>852</v>
      </c>
      <c r="H44" s="492"/>
      <c r="J44" s="109"/>
      <c r="K44" s="118"/>
      <c r="L44" s="112"/>
      <c r="M44" s="113"/>
      <c r="N44" s="113"/>
      <c r="O44" s="113"/>
      <c r="P44" s="113"/>
      <c r="Q44" s="109"/>
    </row>
    <row r="45" spans="2:20" s="453" customFormat="1" ht="15" customHeight="1">
      <c r="B45" s="824" t="s">
        <v>508</v>
      </c>
      <c r="C45" s="444">
        <f>SUM(C43:C44)</f>
        <v>375.97485</v>
      </c>
      <c r="D45" s="444">
        <f>SUM(D43:D44)</f>
        <v>0.13284863512476036</v>
      </c>
      <c r="E45" s="444">
        <f>SUM(E43:E44)</f>
        <v>0.73508522727272718</v>
      </c>
      <c r="F45" s="444">
        <f>SUM(F43:F44)</f>
        <v>0</v>
      </c>
      <c r="G45" s="445" t="s">
        <v>4</v>
      </c>
      <c r="H45" s="446">
        <f>SUM(C45:F45)</f>
        <v>376.84278386239754</v>
      </c>
      <c r="J45" s="117"/>
      <c r="K45" s="476"/>
      <c r="L45" s="476"/>
      <c r="M45" s="477"/>
      <c r="N45" s="477"/>
      <c r="O45" s="477"/>
      <c r="P45" s="477"/>
      <c r="Q45" s="475"/>
    </row>
    <row r="46" spans="2:20" s="120" customFormat="1" ht="15" customHeight="1">
      <c r="B46" s="593"/>
      <c r="C46" s="133"/>
      <c r="D46" s="133"/>
      <c r="E46" s="133"/>
      <c r="F46" s="133"/>
      <c r="G46" s="924"/>
      <c r="H46" s="265"/>
    </row>
    <row r="47" spans="2:20" s="119" customFormat="1" ht="15" customHeight="1">
      <c r="B47" s="116" t="s">
        <v>662</v>
      </c>
      <c r="C47" s="133"/>
      <c r="D47" s="133"/>
      <c r="E47" s="133"/>
      <c r="F47" s="133"/>
      <c r="G47" s="924"/>
      <c r="H47" s="265"/>
    </row>
    <row r="48" spans="2:20" ht="15" customHeight="1">
      <c r="B48" s="921" t="s">
        <v>663</v>
      </c>
      <c r="C48" s="515"/>
      <c r="D48" s="438"/>
      <c r="E48" s="438"/>
      <c r="F48" s="529"/>
      <c r="G48" s="494"/>
      <c r="H48" s="494"/>
      <c r="J48" s="110"/>
      <c r="K48" s="112"/>
      <c r="L48" s="112"/>
      <c r="M48" s="113"/>
      <c r="N48" s="113"/>
      <c r="O48" s="113"/>
      <c r="P48" s="113"/>
      <c r="Q48" s="109"/>
    </row>
    <row r="49" spans="2:17" ht="15" customHeight="1">
      <c r="B49" s="132" t="s">
        <v>42</v>
      </c>
      <c r="C49" s="512">
        <f>'BW2-Field Act. Labor &amp; Mach.'!$I$62</f>
        <v>10.55368</v>
      </c>
      <c r="D49" s="520">
        <f>'BW2-Field Act. Labor &amp; Mach.'!K62</f>
        <v>8.1859214566429603</v>
      </c>
      <c r="E49" s="520">
        <f>'BW2-Field Act. Labor &amp; Mach.'!L62</f>
        <v>7.508305016148265</v>
      </c>
      <c r="F49" s="526"/>
      <c r="G49" s="463"/>
      <c r="H49" s="463"/>
      <c r="J49" s="110"/>
      <c r="K49" s="118"/>
      <c r="L49" s="112"/>
      <c r="M49" s="113"/>
      <c r="N49" s="113"/>
      <c r="O49" s="113"/>
      <c r="P49" s="113"/>
      <c r="Q49" s="109"/>
    </row>
    <row r="50" spans="2:17" ht="15" customHeight="1">
      <c r="B50" s="132" t="s">
        <v>150</v>
      </c>
      <c r="C50" s="512">
        <f>'BW2-Field Act. Labor &amp; Mach.'!$I$65</f>
        <v>42.21472</v>
      </c>
      <c r="D50" s="520">
        <f>'BW2-Field Act. Labor &amp; Mach.'!K65</f>
        <v>3.4075700159999998</v>
      </c>
      <c r="E50" s="520">
        <f>'BW2-Field Act. Labor &amp; Mach.'!L65</f>
        <v>2.89283314099518</v>
      </c>
      <c r="F50" s="526"/>
      <c r="G50" s="463"/>
      <c r="H50" s="463"/>
      <c r="J50" s="110"/>
      <c r="K50" s="118"/>
      <c r="L50" s="112"/>
      <c r="M50" s="113"/>
      <c r="N50" s="113"/>
      <c r="O50" s="113"/>
      <c r="P50" s="113"/>
      <c r="Q50" s="109"/>
    </row>
    <row r="51" spans="2:17" ht="15" customHeight="1">
      <c r="B51" s="462" t="s">
        <v>43</v>
      </c>
      <c r="C51" s="512">
        <f>'BW2-Field Act. Labor &amp; Mach.'!$I$66</f>
        <v>5.27684</v>
      </c>
      <c r="D51" s="520">
        <f>'BW2-Field Act. Labor &amp; Mach.'!K66</f>
        <v>4.7393418269465482</v>
      </c>
      <c r="E51" s="520">
        <f>'BW2-Field Act. Labor &amp; Mach.'!L66</f>
        <v>4.8215303303156709</v>
      </c>
      <c r="F51" s="526"/>
      <c r="G51" s="463"/>
      <c r="H51" s="463"/>
      <c r="J51" s="115"/>
      <c r="K51" s="112"/>
      <c r="L51" s="112"/>
      <c r="M51" s="113"/>
      <c r="N51" s="113"/>
      <c r="O51" s="113"/>
      <c r="P51" s="113"/>
      <c r="Q51" s="109"/>
    </row>
    <row r="52" spans="2:17" ht="15" customHeight="1">
      <c r="B52" s="462" t="s">
        <v>44</v>
      </c>
      <c r="C52" s="512">
        <f>'BW2-Field Act. Labor &amp; Mach.'!$I$67</f>
        <v>5.27684</v>
      </c>
      <c r="D52" s="520">
        <f>'BW2-Field Act. Labor &amp; Mach.'!K67</f>
        <v>4.5754035882945541</v>
      </c>
      <c r="E52" s="520">
        <f>'BW2-Field Act. Labor &amp; Mach.'!L67</f>
        <v>8.7882358546602415</v>
      </c>
      <c r="F52" s="526"/>
      <c r="G52" s="463"/>
      <c r="H52" s="463"/>
      <c r="J52" s="110"/>
      <c r="K52" s="112"/>
      <c r="L52" s="112"/>
      <c r="M52" s="113"/>
      <c r="N52" s="113"/>
      <c r="O52" s="113"/>
      <c r="P52" s="113"/>
      <c r="Q52" s="109"/>
    </row>
    <row r="53" spans="2:17" ht="15" customHeight="1">
      <c r="B53" s="462" t="s">
        <v>45</v>
      </c>
      <c r="C53" s="512">
        <f>'BW2-Field Act. Labor &amp; Mach.'!$I$69</f>
        <v>14.511310000000002</v>
      </c>
      <c r="D53" s="520">
        <f>'BW2-Field Act. Labor &amp; Mach.'!K69</f>
        <v>5.9046727740142977</v>
      </c>
      <c r="E53" s="520">
        <f>'BW2-Field Act. Labor &amp; Mach.'!L69</f>
        <v>8.041581086300118</v>
      </c>
      <c r="F53" s="526"/>
      <c r="G53" s="463"/>
      <c r="H53" s="463"/>
      <c r="J53" s="110"/>
      <c r="K53" s="118"/>
      <c r="L53" s="112"/>
      <c r="M53" s="113"/>
      <c r="N53" s="113"/>
      <c r="O53" s="113"/>
      <c r="P53" s="113"/>
      <c r="Q53" s="109"/>
    </row>
    <row r="54" spans="2:17" ht="15" customHeight="1">
      <c r="B54" s="500" t="str">
        <f>'BW3-Variable Input'!$B$33</f>
        <v>Winter cover crop seed</v>
      </c>
      <c r="C54" s="513"/>
      <c r="D54" s="521"/>
      <c r="E54" s="521"/>
      <c r="F54" s="527">
        <f>'BW3-Variable Input'!$C$33</f>
        <v>31.793452380952385</v>
      </c>
      <c r="G54" s="485"/>
      <c r="H54" s="485"/>
      <c r="J54" s="115"/>
      <c r="K54" s="112"/>
      <c r="L54" s="112"/>
      <c r="M54" s="113"/>
      <c r="N54" s="113"/>
      <c r="O54" s="113"/>
      <c r="P54" s="113"/>
      <c r="Q54" s="109"/>
    </row>
    <row r="55" spans="2:17" s="453" customFormat="1" ht="15" customHeight="1">
      <c r="B55" s="824" t="s">
        <v>508</v>
      </c>
      <c r="C55" s="444">
        <f>SUM(C49:C54)</f>
        <v>77.833390000000009</v>
      </c>
      <c r="D55" s="444">
        <f>SUM(D49:D54)</f>
        <v>26.812909661898363</v>
      </c>
      <c r="E55" s="444">
        <f>SUM(E49:E54)</f>
        <v>32.052485428419473</v>
      </c>
      <c r="F55" s="444">
        <f>SUM(F49:F54)</f>
        <v>31.793452380952385</v>
      </c>
      <c r="G55" s="447" t="s">
        <v>4</v>
      </c>
      <c r="H55" s="446">
        <f>SUM(C55:F55)</f>
        <v>168.49223747127022</v>
      </c>
      <c r="J55" s="117"/>
      <c r="K55" s="499"/>
      <c r="L55" s="476"/>
      <c r="M55" s="478"/>
      <c r="N55" s="478"/>
      <c r="O55" s="478"/>
      <c r="P55" s="478"/>
      <c r="Q55" s="475"/>
    </row>
    <row r="56" spans="2:17" s="120" customFormat="1" ht="15" customHeight="1">
      <c r="B56" s="593"/>
      <c r="C56" s="133"/>
      <c r="D56" s="133"/>
      <c r="E56" s="133"/>
      <c r="F56" s="133"/>
      <c r="G56" s="463"/>
      <c r="H56" s="463"/>
      <c r="J56" s="115"/>
      <c r="K56" s="127"/>
      <c r="L56" s="127"/>
      <c r="M56" s="113"/>
      <c r="N56" s="113"/>
      <c r="O56" s="113"/>
      <c r="P56" s="113"/>
    </row>
    <row r="57" spans="2:17" s="453" customFormat="1" ht="15" customHeight="1">
      <c r="B57" s="116" t="s">
        <v>515</v>
      </c>
      <c r="C57" s="444">
        <f>C39+C45+C55</f>
        <v>1041.4660308904108</v>
      </c>
      <c r="D57" s="444">
        <f>D39+D45+D55</f>
        <v>163.78838563069712</v>
      </c>
      <c r="E57" s="444">
        <f>E39+E45+E55</f>
        <v>332.76519038777587</v>
      </c>
      <c r="F57" s="444">
        <f>F39+F45+F55</f>
        <v>580.28572855093637</v>
      </c>
      <c r="G57" s="447" t="s">
        <v>4</v>
      </c>
      <c r="H57" s="446">
        <f>SUM(C57:F57)</f>
        <v>2118.3053354598201</v>
      </c>
      <c r="J57" s="117"/>
      <c r="K57" s="476"/>
      <c r="L57" s="476"/>
      <c r="M57" s="478"/>
      <c r="N57" s="478"/>
      <c r="O57" s="478"/>
      <c r="P57" s="478"/>
      <c r="Q57" s="475"/>
    </row>
    <row r="58" spans="2:17" ht="15" customHeight="1">
      <c r="B58" s="114"/>
      <c r="C58" s="133"/>
      <c r="D58" s="133"/>
      <c r="E58" s="133"/>
      <c r="F58" s="133"/>
      <c r="G58" s="463"/>
      <c r="H58" s="463"/>
      <c r="J58" s="110"/>
      <c r="K58" s="112"/>
      <c r="L58" s="112"/>
      <c r="M58" s="113"/>
      <c r="N58" s="113"/>
      <c r="O58" s="113"/>
      <c r="P58" s="113"/>
      <c r="Q58" s="109"/>
    </row>
    <row r="59" spans="2:17">
      <c r="B59" s="1032"/>
      <c r="C59" s="1033"/>
      <c r="D59" s="1033"/>
      <c r="E59" s="1033"/>
      <c r="F59" s="1033"/>
      <c r="G59" s="1033"/>
      <c r="H59" s="1033"/>
    </row>
    <row r="60" spans="2:17">
      <c r="B60" s="916"/>
      <c r="C60" s="916"/>
      <c r="D60" s="916"/>
      <c r="E60" s="916"/>
      <c r="F60" s="916"/>
      <c r="G60" s="916"/>
      <c r="H60" s="916"/>
    </row>
    <row r="61" spans="2:17">
      <c r="B61" s="116" t="s">
        <v>664</v>
      </c>
      <c r="C61" s="916"/>
      <c r="D61" s="916"/>
      <c r="E61" s="916"/>
      <c r="F61" s="916"/>
      <c r="G61" s="916"/>
      <c r="H61" s="916"/>
    </row>
    <row r="62" spans="2:17">
      <c r="B62" s="985" t="s">
        <v>668</v>
      </c>
      <c r="C62" s="916"/>
      <c r="D62" s="916"/>
      <c r="E62" s="916"/>
      <c r="F62" s="916"/>
      <c r="G62" s="916"/>
      <c r="H62" s="986">
        <f>C39+C55</f>
        <v>665.49118089041087</v>
      </c>
    </row>
    <row r="63" spans="2:17">
      <c r="B63" s="135" t="s">
        <v>667</v>
      </c>
      <c r="C63" s="916"/>
      <c r="D63" s="916"/>
      <c r="E63" s="916"/>
      <c r="F63" s="916"/>
      <c r="G63" s="916"/>
      <c r="H63" s="986">
        <f>D39+D55</f>
        <v>163.65553699557236</v>
      </c>
    </row>
    <row r="64" spans="2:17" ht="15" customHeight="1">
      <c r="B64" s="985" t="s">
        <v>669</v>
      </c>
      <c r="C64" s="469"/>
      <c r="D64" s="133"/>
      <c r="E64" s="444"/>
      <c r="F64" s="464"/>
      <c r="G64" s="442"/>
      <c r="H64" s="463">
        <f>F39+F55</f>
        <v>580.28572855093637</v>
      </c>
      <c r="I64" s="115"/>
      <c r="J64" s="112"/>
      <c r="K64" s="112"/>
      <c r="L64" s="113"/>
      <c r="M64" s="113"/>
      <c r="N64" s="113"/>
      <c r="O64" s="113"/>
      <c r="P64" s="109"/>
    </row>
    <row r="65" spans="2:16" ht="15" customHeight="1">
      <c r="B65" s="831" t="s">
        <v>666</v>
      </c>
      <c r="C65" s="469"/>
      <c r="D65" s="469"/>
      <c r="E65" s="592"/>
      <c r="F65" s="464"/>
      <c r="G65" s="442"/>
      <c r="H65" s="848">
        <f>SUM(H62:H64)</f>
        <v>1409.4324464369197</v>
      </c>
      <c r="I65" s="132"/>
      <c r="J65" s="112"/>
      <c r="K65" s="112"/>
      <c r="L65" s="113"/>
      <c r="M65" s="113"/>
      <c r="N65" s="113"/>
      <c r="O65" s="113"/>
      <c r="P65" s="109"/>
    </row>
    <row r="66" spans="2:16" ht="15" customHeight="1">
      <c r="B66" s="985" t="s">
        <v>680</v>
      </c>
      <c r="C66" s="469"/>
      <c r="D66" s="469"/>
      <c r="E66" s="469"/>
      <c r="F66" s="132"/>
      <c r="G66" s="442"/>
      <c r="H66" s="463">
        <f>C45</f>
        <v>375.97485</v>
      </c>
      <c r="I66" s="132"/>
      <c r="J66" s="112"/>
      <c r="K66" s="112"/>
      <c r="L66" s="113"/>
      <c r="M66" s="113"/>
      <c r="N66" s="113"/>
      <c r="O66" s="113"/>
      <c r="P66" s="109"/>
    </row>
    <row r="67" spans="2:16" ht="15" customHeight="1">
      <c r="B67" s="985" t="s">
        <v>445</v>
      </c>
      <c r="C67" s="469"/>
      <c r="D67" s="469"/>
      <c r="E67" s="469"/>
      <c r="F67" s="132"/>
      <c r="G67" s="442"/>
      <c r="H67" s="463">
        <f>D45</f>
        <v>0.13284863512476036</v>
      </c>
      <c r="I67" s="132"/>
      <c r="J67" s="112"/>
      <c r="K67" s="112"/>
      <c r="L67" s="113"/>
      <c r="M67" s="113"/>
      <c r="N67" s="113"/>
      <c r="O67" s="113"/>
      <c r="P67" s="109"/>
    </row>
    <row r="68" spans="2:16" ht="15" customHeight="1">
      <c r="B68" s="985" t="s">
        <v>670</v>
      </c>
      <c r="C68" s="469"/>
      <c r="D68" s="444"/>
      <c r="E68" s="469"/>
      <c r="F68" s="132"/>
      <c r="G68" s="132"/>
      <c r="H68" s="463">
        <f>F45</f>
        <v>0</v>
      </c>
      <c r="I68" s="132"/>
      <c r="J68" s="112"/>
      <c r="K68" s="112"/>
      <c r="L68" s="113"/>
      <c r="M68" s="113"/>
      <c r="N68" s="113"/>
      <c r="O68" s="113"/>
      <c r="P68" s="109"/>
    </row>
    <row r="69" spans="2:16" ht="15" customHeight="1">
      <c r="B69" s="831" t="s">
        <v>671</v>
      </c>
      <c r="C69" s="43"/>
      <c r="D69" s="43"/>
      <c r="E69" s="832"/>
      <c r="F69" s="43"/>
      <c r="G69" s="43"/>
      <c r="H69" s="598">
        <f>SUM(H66:H68)</f>
        <v>376.10769863512479</v>
      </c>
      <c r="I69" s="132"/>
      <c r="J69" s="112"/>
      <c r="K69" s="112"/>
      <c r="L69" s="113"/>
      <c r="M69" s="113"/>
      <c r="N69" s="113"/>
      <c r="O69" s="113"/>
      <c r="P69" s="109"/>
    </row>
    <row r="70" spans="2:16" ht="15" customHeight="1">
      <c r="B70" s="833" t="s">
        <v>513</v>
      </c>
      <c r="C70" s="919"/>
      <c r="D70" s="919"/>
      <c r="E70" s="987"/>
      <c r="F70" s="988"/>
      <c r="G70" s="919"/>
      <c r="H70" s="818">
        <f>H65+H69</f>
        <v>1785.5401450720444</v>
      </c>
      <c r="I70" s="132"/>
      <c r="J70" s="112"/>
      <c r="K70" s="112"/>
      <c r="L70" s="113"/>
      <c r="M70" s="113"/>
      <c r="N70" s="113"/>
      <c r="O70" s="113"/>
      <c r="P70" s="109"/>
    </row>
    <row r="71" spans="2:16" ht="15" customHeight="1">
      <c r="B71" s="985" t="s">
        <v>672</v>
      </c>
      <c r="C71" s="135"/>
      <c r="D71" s="135"/>
      <c r="E71" s="472"/>
      <c r="F71" s="135"/>
      <c r="G71" s="135"/>
      <c r="H71" s="989">
        <f>E39+E55</f>
        <v>332.03010516050313</v>
      </c>
      <c r="I71" s="132"/>
      <c r="J71" s="112"/>
      <c r="K71" s="112"/>
      <c r="L71" s="113"/>
      <c r="M71" s="113"/>
      <c r="N71" s="113"/>
      <c r="O71" s="113"/>
      <c r="P71" s="109"/>
    </row>
    <row r="72" spans="2:16" ht="15" customHeight="1">
      <c r="B72" s="985" t="s">
        <v>673</v>
      </c>
      <c r="C72" s="135"/>
      <c r="D72" s="135"/>
      <c r="E72" s="472"/>
      <c r="F72" s="135"/>
      <c r="G72" s="135"/>
      <c r="H72" s="990">
        <f>E45</f>
        <v>0.73508522727272718</v>
      </c>
      <c r="I72" s="132"/>
      <c r="J72" s="112"/>
      <c r="K72" s="112"/>
      <c r="L72" s="113"/>
      <c r="M72" s="113"/>
      <c r="N72" s="113"/>
      <c r="O72" s="113"/>
      <c r="P72" s="109"/>
    </row>
    <row r="73" spans="2:16" ht="15" customHeight="1">
      <c r="B73" s="837" t="s">
        <v>514</v>
      </c>
      <c r="C73" s="919"/>
      <c r="D73" s="919"/>
      <c r="E73" s="987"/>
      <c r="F73" s="988"/>
      <c r="G73" s="919"/>
      <c r="H73" s="819">
        <f>H71+H72</f>
        <v>332.76519038777587</v>
      </c>
      <c r="I73" s="132"/>
      <c r="J73" s="112"/>
      <c r="K73" s="112"/>
      <c r="L73" s="113"/>
      <c r="M73" s="113"/>
      <c r="N73" s="113"/>
      <c r="O73" s="113"/>
      <c r="P73" s="109"/>
    </row>
    <row r="74" spans="2:16">
      <c r="B74" s="264"/>
      <c r="C74" s="469"/>
      <c r="D74" s="242"/>
      <c r="E74" s="469"/>
      <c r="F74" s="132"/>
      <c r="G74" s="132"/>
      <c r="H74" s="442"/>
      <c r="I74" s="132"/>
      <c r="J74" s="112"/>
      <c r="K74" s="112"/>
      <c r="L74" s="111"/>
      <c r="M74" s="111"/>
      <c r="N74" s="111"/>
      <c r="O74" s="111"/>
      <c r="P74" s="109"/>
    </row>
    <row r="75" spans="2:16">
      <c r="B75" s="132"/>
      <c r="C75" s="469"/>
      <c r="D75" s="469"/>
      <c r="E75" s="469"/>
      <c r="F75" s="132"/>
      <c r="G75" s="442"/>
      <c r="H75" s="442"/>
      <c r="I75" s="132"/>
      <c r="J75" s="112"/>
      <c r="K75" s="112"/>
      <c r="L75" s="111"/>
      <c r="M75" s="111"/>
      <c r="N75" s="111"/>
      <c r="O75" s="111"/>
      <c r="P75" s="109"/>
    </row>
    <row r="76" spans="2:16">
      <c r="B76" s="132"/>
      <c r="C76" s="132"/>
      <c r="D76" s="132"/>
      <c r="E76" s="132"/>
      <c r="F76" s="132"/>
      <c r="G76" s="442"/>
      <c r="H76" s="442"/>
      <c r="I76" s="132"/>
      <c r="L76" s="109"/>
      <c r="M76" s="109"/>
      <c r="N76" s="109"/>
      <c r="O76" s="109"/>
      <c r="P76"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T79"/>
  <sheetViews>
    <sheetView showGridLines="0" view="pageLayout" workbookViewId="0">
      <selection activeCell="B42" sqref="B42"/>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2" style="108" customWidth="1"/>
    <col min="10" max="10" width="14.7109375" style="108" customWidth="1"/>
    <col min="11" max="11" width="8.42578125" style="108" customWidth="1"/>
    <col min="12" max="12" width="6.85546875" style="108" customWidth="1"/>
    <col min="13" max="13" width="14.42578125" style="108" customWidth="1"/>
    <col min="14" max="15" width="8.7109375" style="108"/>
    <col min="16" max="16" width="12.42578125" style="108" customWidth="1"/>
    <col min="17" max="19" width="8.7109375" style="108"/>
    <col min="20" max="20" width="11.5703125" style="108" customWidth="1"/>
    <col min="21" max="16384" width="8.7109375" style="108"/>
  </cols>
  <sheetData>
    <row r="1" spans="2:20" ht="16" thickBot="1">
      <c r="F1" s="563"/>
      <c r="G1" s="1263" t="s">
        <v>512</v>
      </c>
      <c r="H1" s="1264"/>
    </row>
    <row r="2" spans="2:20" ht="25" customHeight="1">
      <c r="B2" s="1024" t="str">
        <f>'Workbook Index'!B35</f>
        <v>Cucumbers</v>
      </c>
      <c r="C2" s="221"/>
      <c r="D2" s="221"/>
      <c r="E2" s="221"/>
      <c r="I2" s="564"/>
      <c r="J2" s="109"/>
      <c r="K2" s="109"/>
      <c r="L2" s="109"/>
      <c r="M2" s="109"/>
      <c r="N2" s="109"/>
      <c r="O2" s="109"/>
    </row>
    <row r="3" spans="2:20" ht="33.5" customHeight="1">
      <c r="B3" s="1027" t="s">
        <v>716</v>
      </c>
      <c r="C3" s="132" t="s">
        <v>367</v>
      </c>
      <c r="E3" s="222" t="s">
        <v>14</v>
      </c>
      <c r="F3"/>
      <c r="G3"/>
      <c r="H3"/>
      <c r="I3" s="130"/>
      <c r="J3" s="128"/>
      <c r="K3" s="128"/>
      <c r="L3" s="128"/>
      <c r="M3" s="109"/>
      <c r="N3" s="117"/>
      <c r="O3" s="129"/>
      <c r="P3" s="112"/>
      <c r="Q3" s="112"/>
      <c r="R3" s="112"/>
      <c r="S3" s="112"/>
      <c r="T3" s="112"/>
    </row>
    <row r="4" spans="2:20">
      <c r="B4" s="918"/>
      <c r="C4" s="132" t="s">
        <v>47</v>
      </c>
      <c r="D4" s="916"/>
      <c r="E4" s="1068">
        <f>'BW1-Bed and Row Spacing'!J17</f>
        <v>4148.5714285714284</v>
      </c>
      <c r="F4" s="135"/>
      <c r="G4" s="135"/>
      <c r="H4" s="135"/>
      <c r="I4" s="130"/>
      <c r="J4" s="128"/>
      <c r="K4" s="128"/>
      <c r="L4" s="128"/>
      <c r="M4" s="109"/>
      <c r="N4" s="110"/>
      <c r="O4" s="111"/>
      <c r="P4" s="112"/>
      <c r="Q4" s="112"/>
      <c r="R4" s="112"/>
      <c r="S4" s="112"/>
      <c r="T4" s="112"/>
    </row>
    <row r="5" spans="2:20">
      <c r="B5" s="915"/>
      <c r="C5" s="132" t="s">
        <v>366</v>
      </c>
      <c r="D5" s="916"/>
      <c r="E5" s="1340" t="s">
        <v>825</v>
      </c>
      <c r="F5" s="1340"/>
      <c r="G5" s="1340"/>
      <c r="H5" s="1340"/>
      <c r="I5" s="224"/>
      <c r="J5" s="225"/>
      <c r="K5" s="225"/>
      <c r="L5" s="225"/>
      <c r="M5" s="127"/>
      <c r="N5" s="110"/>
      <c r="O5" s="111"/>
      <c r="P5" s="112"/>
      <c r="Q5" s="112"/>
      <c r="R5" s="112"/>
      <c r="S5" s="112"/>
      <c r="T5" s="112"/>
    </row>
    <row r="6" spans="2:20">
      <c r="B6" s="223"/>
      <c r="C6" s="915"/>
      <c r="D6" s="916"/>
      <c r="E6" s="1340"/>
      <c r="F6" s="1340"/>
      <c r="G6" s="1340"/>
      <c r="H6" s="1340"/>
      <c r="I6" s="225"/>
      <c r="J6" s="225"/>
      <c r="K6" s="225"/>
      <c r="L6" s="225"/>
      <c r="M6" s="112"/>
      <c r="N6" s="112"/>
      <c r="O6" s="112"/>
      <c r="P6" s="112"/>
      <c r="Q6" s="112"/>
    </row>
    <row r="7" spans="2:20">
      <c r="B7" s="1032"/>
      <c r="C7" s="1033"/>
      <c r="D7" s="1033"/>
      <c r="E7" s="1033"/>
      <c r="F7" s="1033"/>
      <c r="G7" s="1033"/>
      <c r="H7" s="1033"/>
    </row>
    <row r="8" spans="2:20">
      <c r="B8" s="553" t="s">
        <v>517</v>
      </c>
      <c r="C8" s="492"/>
      <c r="D8" s="492"/>
      <c r="E8" s="492"/>
      <c r="F8" s="492"/>
      <c r="G8" s="492"/>
      <c r="H8" s="492"/>
      <c r="I8" s="109"/>
    </row>
    <row r="9" spans="2:20" customFormat="1" ht="33" customHeight="1">
      <c r="B9" s="420" t="s">
        <v>711</v>
      </c>
      <c r="C9" s="421" t="s">
        <v>707</v>
      </c>
      <c r="D9" s="421" t="s">
        <v>708</v>
      </c>
      <c r="E9" s="421" t="s">
        <v>709</v>
      </c>
      <c r="F9" s="421" t="s">
        <v>710</v>
      </c>
      <c r="G9" s="919"/>
      <c r="H9" s="920"/>
      <c r="M9" s="112"/>
      <c r="N9" s="112"/>
      <c r="O9" s="112"/>
      <c r="P9" s="6"/>
      <c r="Q9" s="6"/>
    </row>
    <row r="10" spans="2:20" customFormat="1" ht="30">
      <c r="B10" s="993" t="s">
        <v>516</v>
      </c>
      <c r="C10" s="991" t="s">
        <v>849</v>
      </c>
      <c r="D10" s="991" t="s">
        <v>849</v>
      </c>
      <c r="E10" s="991" t="s">
        <v>849</v>
      </c>
      <c r="F10" s="991" t="s">
        <v>850</v>
      </c>
      <c r="G10" s="992"/>
      <c r="H10" s="462"/>
      <c r="M10" s="112"/>
      <c r="N10" s="112"/>
      <c r="O10" s="6"/>
      <c r="P10" s="6"/>
    </row>
    <row r="11" spans="2:20" ht="13" customHeight="1">
      <c r="B11" s="922" t="s">
        <v>181</v>
      </c>
      <c r="C11" s="514"/>
      <c r="D11" s="522"/>
      <c r="E11" s="522"/>
      <c r="F11" s="528"/>
      <c r="G11" s="509"/>
      <c r="H11" s="509"/>
      <c r="I11" s="404"/>
      <c r="N11" s="112"/>
      <c r="O11" s="112"/>
      <c r="P11" s="112"/>
    </row>
    <row r="12" spans="2:20">
      <c r="B12" s="265" t="s">
        <v>145</v>
      </c>
      <c r="C12" s="512">
        <f>'BW2-Field Act. Labor &amp; Mach.'!I9</f>
        <v>9.23447</v>
      </c>
      <c r="D12" s="520">
        <f>'BW2-Field Act. Labor &amp; Mach.'!K9</f>
        <v>7.1626812745625896</v>
      </c>
      <c r="E12" s="520">
        <f>'BW2-Field Act. Labor &amp; Mach.'!L9</f>
        <v>6.5697668891297312</v>
      </c>
      <c r="F12" s="526"/>
      <c r="G12" s="465"/>
      <c r="H12" s="465"/>
      <c r="I12" s="466"/>
      <c r="J12" s="110"/>
      <c r="K12" s="112"/>
      <c r="L12" s="118"/>
      <c r="M12" s="118"/>
      <c r="N12" s="112"/>
      <c r="O12" s="112"/>
      <c r="P12" s="112"/>
    </row>
    <row r="13" spans="2:20">
      <c r="B13" s="132" t="s">
        <v>46</v>
      </c>
      <c r="C13" s="512">
        <f>'BW2-Field Act. Labor &amp; Mach.'!I10</f>
        <v>11.87289</v>
      </c>
      <c r="D13" s="520">
        <f>'BW2-Field Act. Labor &amp; Mach.'!K10</f>
        <v>16.900081383311999</v>
      </c>
      <c r="E13" s="520">
        <f>'BW2-Field Act. Labor &amp; Mach.'!L10</f>
        <v>23.703168100043012</v>
      </c>
      <c r="F13" s="526"/>
      <c r="G13" s="133"/>
      <c r="H13" s="465"/>
      <c r="I13" s="466"/>
      <c r="J13" s="110"/>
      <c r="K13" s="112"/>
      <c r="L13" s="112"/>
      <c r="M13" s="112"/>
      <c r="N13" s="118"/>
      <c r="O13" s="112"/>
      <c r="P13" s="112"/>
    </row>
    <row r="14" spans="2:20">
      <c r="B14" s="151" t="s">
        <v>69</v>
      </c>
      <c r="C14" s="512"/>
      <c r="D14" s="520"/>
      <c r="E14" s="520"/>
      <c r="F14" s="526">
        <f>'BW3-Variable Input'!C9</f>
        <v>116.66666666666667</v>
      </c>
      <c r="G14" s="133"/>
      <c r="H14" s="465"/>
      <c r="I14" s="466"/>
      <c r="J14" s="110"/>
      <c r="K14" s="112"/>
      <c r="L14" s="112"/>
      <c r="M14" s="112"/>
      <c r="N14" s="118"/>
      <c r="O14" s="112"/>
      <c r="P14" s="112"/>
    </row>
    <row r="15" spans="2:20">
      <c r="B15" s="473" t="s">
        <v>11</v>
      </c>
      <c r="C15" s="512">
        <f>'BW2-Field Act. Labor &amp; Mach.'!I13</f>
        <v>22.426569999999998</v>
      </c>
      <c r="D15" s="520">
        <f>'BW2-Field Act. Labor &amp; Mach.'!K13</f>
        <v>17.993866831056</v>
      </c>
      <c r="E15" s="520">
        <f>'BW2-Field Act. Labor &amp; Mach.'!L13</f>
        <v>44.771770188886023</v>
      </c>
      <c r="F15" s="526"/>
      <c r="G15" s="133"/>
      <c r="H15" s="463"/>
      <c r="I15" s="466"/>
      <c r="J15" s="110"/>
      <c r="K15" s="112"/>
      <c r="L15" s="112"/>
      <c r="M15" s="112"/>
      <c r="N15" s="118"/>
      <c r="O15" s="112"/>
      <c r="P15" s="112"/>
    </row>
    <row r="16" spans="2:20">
      <c r="B16" s="132" t="s">
        <v>137</v>
      </c>
      <c r="C16" s="512">
        <f>'BW2-Field Act. Labor &amp; Mach.'!I12</f>
        <v>6.59605</v>
      </c>
      <c r="D16" s="520">
        <f>'BW2-Field Act. Labor &amp; Mach.'!K12</f>
        <v>3.7281613670297151</v>
      </c>
      <c r="E16" s="520">
        <f>'BW2-Field Act. Labor &amp; Mach.'!L12</f>
        <v>3.4161206017736747</v>
      </c>
      <c r="F16" s="526"/>
      <c r="G16" s="133"/>
      <c r="H16" s="465"/>
      <c r="I16" s="466"/>
      <c r="J16" s="110"/>
      <c r="K16" s="112"/>
      <c r="L16" s="112"/>
      <c r="M16" s="112"/>
      <c r="N16" s="118"/>
      <c r="O16" s="112"/>
      <c r="P16" s="112"/>
    </row>
    <row r="17" spans="2:16">
      <c r="B17" s="132" t="s">
        <v>12</v>
      </c>
      <c r="C17" s="512">
        <f>'BW2-Field Act. Labor &amp; Mach.'!I14</f>
        <v>10.55368</v>
      </c>
      <c r="D17" s="520">
        <f>'BW2-Field Act. Labor &amp; Mach.'!K14</f>
        <v>9.2140341759999984</v>
      </c>
      <c r="E17" s="520">
        <f>'BW2-Field Act. Labor &amp; Mach.'!L14</f>
        <v>29.935417361494395</v>
      </c>
      <c r="F17" s="526"/>
      <c r="G17" s="133"/>
      <c r="H17" s="463"/>
      <c r="I17" s="466"/>
      <c r="J17" s="110"/>
      <c r="K17" s="112"/>
      <c r="L17" s="112"/>
      <c r="M17" s="112"/>
      <c r="N17" s="112"/>
      <c r="O17" s="112"/>
      <c r="P17" s="112"/>
    </row>
    <row r="18" spans="2:16">
      <c r="B18" s="132" t="s">
        <v>13</v>
      </c>
      <c r="C18" s="512">
        <f>'BW2-Field Act. Labor &amp; Mach.'!I17</f>
        <v>72.556550000000001</v>
      </c>
      <c r="D18" s="520">
        <f>'BW2-Field Act. Labor &amp; Mach.'!K17</f>
        <v>18.413226025968029</v>
      </c>
      <c r="E18" s="520">
        <f>'BW2-Field Act. Labor &amp; Mach.'!L17</f>
        <v>38.951406687324337</v>
      </c>
      <c r="F18" s="526"/>
      <c r="G18" s="133"/>
      <c r="H18" s="463"/>
      <c r="I18" s="466"/>
      <c r="J18" s="110"/>
      <c r="K18" s="112"/>
      <c r="L18" s="112"/>
      <c r="M18" s="112"/>
      <c r="N18" s="112"/>
      <c r="O18" s="112"/>
      <c r="P18" s="112"/>
    </row>
    <row r="19" spans="2:16">
      <c r="B19" s="151" t="str">
        <f>'BW3-Variable Input'!B19</f>
        <v>Plastic mulch for 84" bed spacing</v>
      </c>
      <c r="C19" s="512"/>
      <c r="D19" s="520"/>
      <c r="E19" s="520"/>
      <c r="F19" s="526">
        <f>'BW3-Variable Input'!C19</f>
        <v>77.785714285714278</v>
      </c>
      <c r="G19" s="133"/>
      <c r="H19" s="463"/>
      <c r="I19" s="466"/>
      <c r="J19" s="110"/>
      <c r="K19" s="118"/>
      <c r="L19" s="118"/>
      <c r="M19" s="118"/>
      <c r="N19" s="112"/>
      <c r="O19" s="112"/>
      <c r="P19" s="112"/>
    </row>
    <row r="20" spans="2:16">
      <c r="B20" s="151" t="s">
        <v>313</v>
      </c>
      <c r="C20" s="512"/>
      <c r="D20" s="520"/>
      <c r="E20" s="520"/>
      <c r="F20" s="526">
        <f>'BW3-Variable Input'!C21</f>
        <v>33.880000000000003</v>
      </c>
      <c r="G20" s="133"/>
      <c r="H20" s="463"/>
      <c r="I20" s="466"/>
      <c r="J20" s="110"/>
      <c r="K20" s="112"/>
      <c r="L20" s="112"/>
      <c r="M20" s="112"/>
      <c r="N20" s="112"/>
      <c r="O20" s="112"/>
      <c r="P20" s="112"/>
    </row>
    <row r="21" spans="2:16">
      <c r="B21" s="418" t="s">
        <v>315</v>
      </c>
      <c r="C21" s="513"/>
      <c r="D21" s="521"/>
      <c r="E21" s="521"/>
      <c r="F21" s="527">
        <f>'BW3-Variable Input'!C11</f>
        <v>186</v>
      </c>
      <c r="G21" s="486"/>
      <c r="H21" s="485"/>
      <c r="I21" s="466"/>
      <c r="J21" s="110"/>
      <c r="K21" s="112"/>
      <c r="L21" s="112"/>
      <c r="M21" s="112"/>
      <c r="N21" s="112"/>
      <c r="O21" s="112"/>
      <c r="P21" s="112"/>
    </row>
    <row r="22" spans="2:16">
      <c r="B22" s="132"/>
      <c r="C22" s="133"/>
      <c r="D22" s="133"/>
      <c r="E22" s="133"/>
      <c r="F22" s="133"/>
      <c r="G22" s="133"/>
      <c r="H22" s="466"/>
      <c r="I22" s="466"/>
      <c r="J22" s="110"/>
      <c r="K22" s="112"/>
      <c r="L22" s="112"/>
      <c r="M22" s="112"/>
      <c r="N22" s="112"/>
      <c r="O22" s="112"/>
      <c r="P22" s="112"/>
    </row>
    <row r="23" spans="2:16">
      <c r="B23" s="921" t="s">
        <v>10</v>
      </c>
      <c r="C23" s="515"/>
      <c r="D23" s="438"/>
      <c r="E23" s="438"/>
      <c r="F23" s="529"/>
      <c r="G23" s="422"/>
      <c r="H23" s="494"/>
      <c r="I23" s="466"/>
      <c r="J23" s="110"/>
      <c r="K23" s="112"/>
      <c r="L23" s="112"/>
      <c r="M23" s="112"/>
      <c r="N23" s="112"/>
      <c r="O23" s="112"/>
      <c r="P23" s="112"/>
    </row>
    <row r="24" spans="2:16">
      <c r="B24" s="132" t="str">
        <f>'BW2-Field Act. Labor &amp; Mach.'!B22</f>
        <v>Transplant on plastic mulch</v>
      </c>
      <c r="C24" s="512">
        <f>'BW2-Field Act. Labor &amp; Mach.'!I22</f>
        <v>131.92099999999999</v>
      </c>
      <c r="D24" s="520">
        <f>'BW2-Field Act. Labor &amp; Mach.'!K22</f>
        <v>36.302136438428491</v>
      </c>
      <c r="E24" s="520">
        <f>'BW2-Field Act. Labor &amp; Mach.'!L22</f>
        <v>41.509045695666089</v>
      </c>
      <c r="F24" s="526"/>
      <c r="G24" s="133"/>
      <c r="H24" s="463"/>
      <c r="I24" s="466"/>
      <c r="J24" s="110"/>
      <c r="K24" s="118"/>
      <c r="L24" s="112"/>
      <c r="M24" s="112"/>
      <c r="N24" s="112"/>
      <c r="O24" s="112"/>
      <c r="P24" s="112"/>
    </row>
    <row r="25" spans="2:16">
      <c r="B25" s="151" t="s">
        <v>685</v>
      </c>
      <c r="C25" s="512"/>
      <c r="D25" s="520"/>
      <c r="E25" s="520"/>
      <c r="F25" s="526">
        <f>'BW4-Transplant Production'!F12</f>
        <v>61.11571714285715</v>
      </c>
      <c r="G25" s="923" t="s">
        <v>720</v>
      </c>
      <c r="H25" s="465"/>
      <c r="I25" s="466"/>
      <c r="J25" s="110"/>
      <c r="K25" s="118"/>
      <c r="L25" s="112"/>
      <c r="M25" s="112"/>
      <c r="N25" s="112"/>
      <c r="O25" s="112"/>
      <c r="P25" s="112"/>
    </row>
    <row r="26" spans="2:16">
      <c r="B26" s="418" t="s">
        <v>459</v>
      </c>
      <c r="C26" s="513">
        <f>'BW4-Transplant Production'!D12</f>
        <v>516.51035844675937</v>
      </c>
      <c r="D26" s="521"/>
      <c r="E26" s="521"/>
      <c r="F26" s="527">
        <f>'BW4-Transplant Production'!E12</f>
        <v>329.06529976974377</v>
      </c>
      <c r="G26" s="925" t="s">
        <v>720</v>
      </c>
      <c r="H26" s="1031"/>
      <c r="I26" s="466"/>
      <c r="J26" s="110"/>
      <c r="K26" s="118"/>
      <c r="L26" s="112"/>
      <c r="M26" s="112"/>
      <c r="N26" s="112"/>
      <c r="O26" s="112"/>
      <c r="P26" s="112"/>
    </row>
    <row r="27" spans="2:16">
      <c r="B27" s="151"/>
      <c r="C27" s="133"/>
      <c r="D27" s="133"/>
      <c r="E27" s="133"/>
      <c r="F27" s="133"/>
      <c r="G27" s="133"/>
      <c r="H27" s="466"/>
      <c r="I27" s="466"/>
      <c r="J27" s="110"/>
      <c r="K27" s="112"/>
      <c r="L27" s="112"/>
      <c r="M27" s="112"/>
      <c r="N27" s="112"/>
      <c r="O27" s="112"/>
      <c r="P27" s="112"/>
    </row>
    <row r="28" spans="2:16">
      <c r="B28" s="921" t="s">
        <v>37</v>
      </c>
      <c r="C28" s="515"/>
      <c r="D28" s="438"/>
      <c r="E28" s="438"/>
      <c r="F28" s="529"/>
      <c r="G28" s="422"/>
      <c r="H28" s="494"/>
      <c r="I28" s="466"/>
      <c r="J28" s="110"/>
      <c r="K28" s="112"/>
      <c r="L28" s="112"/>
      <c r="M28" s="112"/>
      <c r="N28" s="112"/>
      <c r="O28" s="112"/>
      <c r="P28" s="112"/>
    </row>
    <row r="29" spans="2:16">
      <c r="B29" s="462" t="s">
        <v>179</v>
      </c>
      <c r="C29" s="512">
        <f>'BW2-Field Act. Labor &amp; Mach.'!$I$31*2</f>
        <v>10.55368</v>
      </c>
      <c r="D29" s="520">
        <f>'BW2-Field Act. Labor &amp; Mach.'!K31*2</f>
        <v>1.6570295666513035</v>
      </c>
      <c r="E29" s="520">
        <f>'BW2-Field Act. Labor &amp; Mach.'!L31*2</f>
        <v>27.363002680965153</v>
      </c>
      <c r="F29" s="526"/>
      <c r="G29" s="133"/>
      <c r="H29" s="133"/>
      <c r="I29" s="466"/>
      <c r="J29" s="110"/>
      <c r="K29" s="112"/>
      <c r="L29" s="118"/>
      <c r="M29" s="112"/>
      <c r="N29" s="112"/>
      <c r="O29" s="112"/>
      <c r="P29" s="112"/>
    </row>
    <row r="30" spans="2:16">
      <c r="B30" s="151" t="str">
        <f>'BW5-Irrigation'!$B$8</f>
        <v>Irrigation supply cost</v>
      </c>
      <c r="C30" s="512"/>
      <c r="D30" s="520"/>
      <c r="E30" s="520"/>
      <c r="F30" s="526">
        <f>'BW5-Irrigation'!$E$8</f>
        <v>32.773534158149545</v>
      </c>
      <c r="G30" s="1029" t="s">
        <v>851</v>
      </c>
      <c r="H30" s="133"/>
      <c r="I30" s="466"/>
      <c r="J30" s="110"/>
      <c r="K30" s="112"/>
      <c r="L30" s="118"/>
      <c r="M30" s="112"/>
      <c r="N30" s="112"/>
      <c r="O30" s="112"/>
      <c r="P30" s="112"/>
    </row>
    <row r="31" spans="2:16">
      <c r="B31" s="132" t="str">
        <f>'BW5-Irrigation'!$B$9</f>
        <v>Irrigation set-up labor cost</v>
      </c>
      <c r="C31" s="512">
        <f>'BW5-Irrigation'!$E$9</f>
        <v>50.735370890410955</v>
      </c>
      <c r="D31" s="520"/>
      <c r="E31" s="520"/>
      <c r="F31" s="526"/>
      <c r="G31" s="1029" t="s">
        <v>851</v>
      </c>
      <c r="H31" s="133"/>
      <c r="I31" s="466"/>
      <c r="J31" s="110"/>
      <c r="K31" s="112"/>
      <c r="L31" s="118"/>
      <c r="M31" s="112"/>
      <c r="N31" s="112"/>
      <c r="O31" s="112"/>
      <c r="P31" s="112"/>
    </row>
    <row r="32" spans="2:16">
      <c r="B32" s="132" t="s">
        <v>335</v>
      </c>
      <c r="C32" s="512">
        <f>'BW2-Field Act. Labor &amp; Mach.'!I39*'BW5-Irrigation'!C22</f>
        <v>105.5368</v>
      </c>
      <c r="D32" s="520"/>
      <c r="E32" s="520"/>
      <c r="F32" s="526"/>
      <c r="G32" s="133"/>
      <c r="H32" s="133"/>
      <c r="I32" s="466"/>
      <c r="J32" s="110"/>
      <c r="K32" s="112"/>
      <c r="L32" s="118"/>
      <c r="M32" s="112"/>
      <c r="N32" s="112"/>
      <c r="O32" s="112"/>
      <c r="P32" s="112"/>
    </row>
    <row r="33" spans="2:20">
      <c r="B33" s="132" t="s">
        <v>346</v>
      </c>
      <c r="C33" s="512">
        <f>'BW2-Field Act. Labor &amp; Mach.'!$I$30*2</f>
        <v>15.83052</v>
      </c>
      <c r="D33" s="520">
        <f>'BW2-Field Act. Labor &amp; Mach.'!K30*2</f>
        <v>3.8005199999999992</v>
      </c>
      <c r="E33" s="520">
        <f>'BW2-Field Act. Labor &amp; Mach.'!L30*2</f>
        <v>13.353658536585364</v>
      </c>
      <c r="F33" s="526"/>
      <c r="G33" s="133"/>
      <c r="H33" s="463"/>
      <c r="I33" s="466"/>
      <c r="J33" s="115"/>
      <c r="K33" s="112"/>
      <c r="L33" s="118"/>
      <c r="M33" s="112"/>
      <c r="N33" s="112"/>
      <c r="O33" s="112"/>
      <c r="P33" s="112"/>
    </row>
    <row r="34" spans="2:20">
      <c r="B34" s="132" t="s">
        <v>136</v>
      </c>
      <c r="C34" s="512">
        <f>'BW2-Field Act. Labor &amp; Mach.'!$I$45</f>
        <v>211.0736</v>
      </c>
      <c r="D34" s="520">
        <f>'BW2-Field Act. Labor &amp; Mach.'!K45</f>
        <v>5.6792833599999994</v>
      </c>
      <c r="E34" s="520">
        <f>'BW2-Field Act. Labor &amp; Mach.'!L45</f>
        <v>4.8213885683253004</v>
      </c>
      <c r="F34" s="526"/>
      <c r="G34" s="133"/>
      <c r="H34" s="463"/>
      <c r="I34" s="466"/>
      <c r="J34" s="115"/>
      <c r="K34" s="112"/>
      <c r="L34" s="118"/>
      <c r="M34" s="112"/>
      <c r="N34" s="112"/>
      <c r="O34" s="112"/>
      <c r="P34" s="112"/>
    </row>
    <row r="35" spans="2:20">
      <c r="B35" s="151" t="s">
        <v>341</v>
      </c>
      <c r="C35" s="512"/>
      <c r="D35" s="520"/>
      <c r="E35" s="520"/>
      <c r="F35" s="526">
        <f>'BW3-Variable Input'!$C$27</f>
        <v>654.99851816666671</v>
      </c>
      <c r="G35" s="133"/>
      <c r="H35" s="463"/>
      <c r="I35" s="466"/>
      <c r="J35" s="115"/>
      <c r="K35" s="112"/>
      <c r="L35" s="118"/>
      <c r="M35" s="112"/>
      <c r="N35" s="112"/>
      <c r="O35" s="112"/>
      <c r="P35" s="112"/>
    </row>
    <row r="36" spans="2:20">
      <c r="B36" s="132" t="s">
        <v>188</v>
      </c>
      <c r="C36" s="512">
        <f>'BW2-Field Act. Labor &amp; Mach.'!$I$46</f>
        <v>92.344700000000003</v>
      </c>
      <c r="D36" s="520">
        <f>'BW2-Field Act. Labor &amp; Mach.'!K46</f>
        <v>5.6792833599999994</v>
      </c>
      <c r="E36" s="520">
        <f>'BW2-Field Act. Labor &amp; Mach.'!L46</f>
        <v>4.8213885683253004</v>
      </c>
      <c r="F36" s="526"/>
      <c r="G36" s="133"/>
      <c r="H36" s="463"/>
      <c r="I36" s="466"/>
      <c r="J36" s="110"/>
      <c r="K36" s="112"/>
      <c r="L36" s="118"/>
      <c r="M36" s="112"/>
      <c r="N36" s="112"/>
      <c r="O36" s="112"/>
      <c r="P36" s="112"/>
    </row>
    <row r="37" spans="2:20">
      <c r="B37" s="265" t="str">
        <f>'BW2-Field Act. Labor &amp; Mach.'!$B$35</f>
        <v>Handweed plastic mulch holes</v>
      </c>
      <c r="C37" s="512">
        <f>'BW2-Field Act. Labor &amp; Mach.'!$I$35</f>
        <v>65.960499999999996</v>
      </c>
      <c r="D37" s="520"/>
      <c r="E37" s="520"/>
      <c r="F37" s="526"/>
      <c r="G37" s="133"/>
      <c r="H37" s="463"/>
      <c r="I37" s="466"/>
      <c r="J37" s="110"/>
      <c r="K37" s="112"/>
      <c r="L37" s="118"/>
      <c r="M37" s="112"/>
      <c r="N37" s="112"/>
      <c r="O37" s="112"/>
      <c r="P37" s="112"/>
    </row>
    <row r="38" spans="2:20">
      <c r="B38" s="132" t="s">
        <v>327</v>
      </c>
      <c r="C38" s="512">
        <f>'BW2-Field Act. Labor &amp; Mach.'!I37*4</f>
        <v>52.7684</v>
      </c>
      <c r="D38" s="520">
        <f>'BW2-Field Act. Labor &amp; Mach.'!K37*4</f>
        <v>40.728886581040129</v>
      </c>
      <c r="E38" s="520">
        <f>'BW2-Field Act. Labor &amp; Mach.'!L37*4</f>
        <v>52.41973239570433</v>
      </c>
      <c r="F38" s="526"/>
      <c r="G38" s="133"/>
      <c r="H38" s="479"/>
      <c r="I38" s="468"/>
      <c r="J38" s="228"/>
      <c r="K38" s="228"/>
      <c r="L38"/>
      <c r="M38"/>
      <c r="N38"/>
      <c r="O38"/>
      <c r="P38"/>
      <c r="Q38"/>
      <c r="R38"/>
      <c r="S38"/>
      <c r="T38"/>
    </row>
    <row r="39" spans="2:20">
      <c r="B39" s="419" t="s">
        <v>501</v>
      </c>
      <c r="C39" s="513"/>
      <c r="D39" s="521"/>
      <c r="E39" s="521"/>
      <c r="F39" s="527">
        <f>'BW3-Variable Input'!C62</f>
        <v>217.77238542705967</v>
      </c>
      <c r="G39" s="489"/>
      <c r="H39" s="485"/>
      <c r="I39" s="463"/>
      <c r="J39" s="115"/>
      <c r="K39" s="112"/>
      <c r="L39" s="118"/>
      <c r="M39" s="112"/>
      <c r="N39" s="112"/>
      <c r="O39" s="112"/>
      <c r="P39" s="112"/>
    </row>
    <row r="40" spans="2:20" s="453" customFormat="1">
      <c r="B40" s="824" t="s">
        <v>508</v>
      </c>
      <c r="C40" s="444">
        <f>SUM(C12:C21, C23:C26,C29:C39)</f>
        <v>1386.4751393371703</v>
      </c>
      <c r="D40" s="444">
        <f>SUM(D12:D21, D23:D26,D29:D39)</f>
        <v>167.25919036404827</v>
      </c>
      <c r="E40" s="444">
        <f>SUM(E12:E21, E23:E26,E29:E39)</f>
        <v>291.63586627422274</v>
      </c>
      <c r="F40" s="444">
        <f>SUM(F12:F21, F23:F26,F29:F39)</f>
        <v>1710.0578356168578</v>
      </c>
      <c r="G40" s="445" t="s">
        <v>4</v>
      </c>
      <c r="H40" s="446">
        <f>SUM(C40:F40)</f>
        <v>3555.4280315922988</v>
      </c>
      <c r="J40" s="117"/>
      <c r="K40" s="476"/>
      <c r="L40" s="476"/>
      <c r="M40" s="477"/>
      <c r="N40" s="477"/>
      <c r="O40" s="477"/>
      <c r="P40" s="477"/>
      <c r="Q40" s="475"/>
    </row>
    <row r="41" spans="2:20" s="120" customFormat="1" ht="15" customHeight="1">
      <c r="B41" s="593"/>
      <c r="C41" s="133"/>
      <c r="D41" s="133"/>
      <c r="E41" s="133"/>
      <c r="F41" s="133"/>
      <c r="G41" s="924"/>
      <c r="H41" s="265"/>
    </row>
    <row r="42" spans="2:20" s="119" customFormat="1" ht="15" customHeight="1">
      <c r="B42" s="116" t="s">
        <v>914</v>
      </c>
      <c r="C42" s="133"/>
      <c r="D42" s="133"/>
      <c r="E42" s="133"/>
      <c r="F42" s="133"/>
      <c r="G42" s="924"/>
      <c r="H42" s="265"/>
      <c r="J42" s="120"/>
    </row>
    <row r="43" spans="2:20">
      <c r="B43" s="921" t="s">
        <v>3</v>
      </c>
      <c r="C43" s="514"/>
      <c r="D43" s="522"/>
      <c r="E43" s="522"/>
      <c r="F43" s="528"/>
      <c r="G43" s="983"/>
      <c r="H43" s="491"/>
      <c r="J43" s="109"/>
      <c r="K43" s="118"/>
      <c r="L43" s="112"/>
      <c r="M43" s="111"/>
      <c r="N43" s="111"/>
      <c r="O43" s="111"/>
      <c r="P43" s="111"/>
      <c r="Q43" s="109"/>
    </row>
    <row r="44" spans="2:20">
      <c r="B44" s="132" t="s">
        <v>296</v>
      </c>
      <c r="C44" s="512">
        <f>'BW6-Harvest and Wash-Pack'!D17*'BW6-Harvest and Wash-Pack'!G17</f>
        <v>2216.2728000000002</v>
      </c>
      <c r="D44" s="520">
        <f>'BW2-Field Act. Labor &amp; Mach.'!K54*'BW6-Harvest and Wash-Pack'!G17</f>
        <v>1.5941836214971243</v>
      </c>
      <c r="E44" s="520">
        <f>'BW2-Field Act. Labor &amp; Mach.'!L54*'BW6-Harvest and Wash-Pack'!G17</f>
        <v>8.8210227272727266</v>
      </c>
      <c r="F44" s="526"/>
      <c r="G44" s="1029" t="s">
        <v>852</v>
      </c>
      <c r="H44" s="265"/>
      <c r="J44" s="109"/>
      <c r="K44" s="118"/>
      <c r="L44" s="112"/>
      <c r="M44" s="113"/>
      <c r="N44" s="113"/>
      <c r="O44" s="113"/>
      <c r="P44" s="113"/>
      <c r="Q44" s="109"/>
    </row>
    <row r="45" spans="2:20">
      <c r="B45" s="416" t="s">
        <v>359</v>
      </c>
      <c r="C45" s="513">
        <f>'BW6-Harvest and Wash-Pack'!F17*'BW6-Harvest and Wash-Pack'!G17</f>
        <v>712.37339999999995</v>
      </c>
      <c r="D45" s="521"/>
      <c r="E45" s="521"/>
      <c r="F45" s="527"/>
      <c r="G45" s="1030" t="s">
        <v>852</v>
      </c>
      <c r="H45" s="492"/>
      <c r="J45" s="109"/>
      <c r="K45" s="118"/>
      <c r="L45" s="112"/>
      <c r="M45" s="113"/>
      <c r="N45" s="113"/>
      <c r="O45" s="113"/>
      <c r="P45" s="113"/>
      <c r="Q45" s="109"/>
    </row>
    <row r="46" spans="2:20" s="453" customFormat="1">
      <c r="B46" s="824" t="s">
        <v>508</v>
      </c>
      <c r="C46" s="444">
        <f>SUM(C44:C45)</f>
        <v>2928.6462000000001</v>
      </c>
      <c r="D46" s="444">
        <f>SUM(D44:D45)</f>
        <v>1.5941836214971243</v>
      </c>
      <c r="E46" s="444">
        <f>SUM(E44:E45)</f>
        <v>8.8210227272727266</v>
      </c>
      <c r="F46" s="444">
        <f>SUM(F44:F45)</f>
        <v>0</v>
      </c>
      <c r="G46" s="445" t="s">
        <v>4</v>
      </c>
      <c r="H46" s="446">
        <f>SUM(C46:F46)</f>
        <v>2939.0614063487697</v>
      </c>
      <c r="J46" s="117"/>
      <c r="K46" s="476"/>
      <c r="L46" s="476"/>
      <c r="M46" s="477"/>
      <c r="N46" s="477"/>
      <c r="O46" s="477"/>
      <c r="P46" s="477"/>
      <c r="Q46" s="475"/>
    </row>
    <row r="47" spans="2:20" s="120" customFormat="1" ht="15" customHeight="1">
      <c r="B47" s="593"/>
      <c r="C47" s="133"/>
      <c r="D47" s="133"/>
      <c r="E47" s="133"/>
      <c r="F47" s="133"/>
      <c r="G47" s="924"/>
      <c r="H47" s="265"/>
    </row>
    <row r="48" spans="2:20" s="119" customFormat="1" ht="15" customHeight="1">
      <c r="B48" s="116" t="s">
        <v>662</v>
      </c>
      <c r="C48" s="133"/>
      <c r="D48" s="133"/>
      <c r="E48" s="133"/>
      <c r="F48" s="133"/>
      <c r="G48" s="924"/>
      <c r="H48" s="265"/>
    </row>
    <row r="49" spans="2:17">
      <c r="B49" s="921" t="s">
        <v>663</v>
      </c>
      <c r="C49" s="515"/>
      <c r="D49" s="438"/>
      <c r="E49" s="438"/>
      <c r="F49" s="529"/>
      <c r="G49" s="494"/>
      <c r="H49" s="494"/>
      <c r="J49" s="110"/>
      <c r="K49" s="112"/>
      <c r="L49" s="112"/>
      <c r="M49" s="113"/>
      <c r="N49" s="113"/>
      <c r="O49" s="113"/>
      <c r="P49" s="113"/>
      <c r="Q49" s="109"/>
    </row>
    <row r="50" spans="2:17">
      <c r="B50" s="132" t="s">
        <v>42</v>
      </c>
      <c r="C50" s="512">
        <f>'BW2-Field Act. Labor &amp; Mach.'!$I$62</f>
        <v>10.55368</v>
      </c>
      <c r="D50" s="520">
        <f>'BW2-Field Act. Labor &amp; Mach.'!K62</f>
        <v>8.1859214566429603</v>
      </c>
      <c r="E50" s="520">
        <f>'BW2-Field Act. Labor &amp; Mach.'!L62</f>
        <v>7.508305016148265</v>
      </c>
      <c r="F50" s="526"/>
      <c r="G50" s="463"/>
      <c r="H50" s="463"/>
      <c r="J50" s="110"/>
      <c r="K50" s="112"/>
      <c r="L50" s="112"/>
      <c r="M50" s="113"/>
      <c r="N50" s="113"/>
      <c r="O50" s="113"/>
      <c r="P50" s="113"/>
      <c r="Q50" s="109"/>
    </row>
    <row r="51" spans="2:17">
      <c r="B51" s="132" t="s">
        <v>149</v>
      </c>
      <c r="C51" s="512">
        <f>'BW2-Field Act. Labor &amp; Mach.'!$I$63</f>
        <v>7.91526</v>
      </c>
      <c r="D51" s="520">
        <f>'BW2-Field Act. Labor &amp; Mach.'!K63</f>
        <v>6.9413678434651436</v>
      </c>
      <c r="E51" s="520">
        <f>'BW2-Field Act. Labor &amp; Mach.'!L63</f>
        <v>14.062451996276074</v>
      </c>
      <c r="F51" s="526"/>
      <c r="G51" s="463"/>
      <c r="H51" s="463"/>
      <c r="J51" s="115"/>
      <c r="K51" s="118"/>
      <c r="L51" s="112"/>
      <c r="M51" s="113"/>
      <c r="N51" s="113"/>
      <c r="O51" s="113"/>
      <c r="P51" s="113"/>
      <c r="Q51" s="109"/>
    </row>
    <row r="52" spans="2:17">
      <c r="B52" s="132" t="s">
        <v>158</v>
      </c>
      <c r="C52" s="512">
        <f>'BW2-Field Act. Labor &amp; Mach.'!$I$64</f>
        <v>26.3842</v>
      </c>
      <c r="D52" s="520">
        <f>'BW2-Field Act. Labor &amp; Mach.'!K64</f>
        <v>4.5434266879999994</v>
      </c>
      <c r="E52" s="520">
        <f>'BW2-Field Act. Labor &amp; Mach.'!L64</f>
        <v>3.8571108546602404</v>
      </c>
      <c r="F52" s="526"/>
      <c r="G52" s="463"/>
      <c r="H52" s="463"/>
      <c r="J52" s="110"/>
      <c r="K52" s="118"/>
      <c r="L52" s="112"/>
      <c r="M52" s="113"/>
      <c r="N52" s="113"/>
      <c r="O52" s="113"/>
      <c r="P52" s="113"/>
      <c r="Q52" s="109"/>
    </row>
    <row r="53" spans="2:17">
      <c r="B53" s="132" t="s">
        <v>43</v>
      </c>
      <c r="C53" s="512">
        <f>'BW2-Field Act. Labor &amp; Mach.'!$I$66</f>
        <v>5.27684</v>
      </c>
      <c r="D53" s="520">
        <f>'BW2-Field Act. Labor &amp; Mach.'!K66</f>
        <v>4.7393418269465482</v>
      </c>
      <c r="E53" s="520">
        <f>'BW2-Field Act. Labor &amp; Mach.'!L66</f>
        <v>4.8215303303156709</v>
      </c>
      <c r="F53" s="526"/>
      <c r="G53" s="463"/>
      <c r="H53" s="463"/>
      <c r="J53" s="110"/>
      <c r="K53" s="112"/>
      <c r="L53" s="112"/>
      <c r="M53" s="113"/>
      <c r="N53" s="113"/>
      <c r="O53" s="113"/>
      <c r="P53" s="113"/>
      <c r="Q53" s="109"/>
    </row>
    <row r="54" spans="2:17">
      <c r="B54" s="132" t="s">
        <v>44</v>
      </c>
      <c r="C54" s="512">
        <f>'BW2-Field Act. Labor &amp; Mach.'!$I$67</f>
        <v>5.27684</v>
      </c>
      <c r="D54" s="520">
        <f>'BW2-Field Act. Labor &amp; Mach.'!K67</f>
        <v>4.5754035882945541</v>
      </c>
      <c r="E54" s="520">
        <f>'BW2-Field Act. Labor &amp; Mach.'!L67</f>
        <v>8.7882358546602415</v>
      </c>
      <c r="F54" s="526"/>
      <c r="G54" s="463"/>
      <c r="H54" s="463"/>
      <c r="J54" s="110"/>
      <c r="K54" s="112"/>
      <c r="L54" s="112"/>
      <c r="M54" s="113"/>
      <c r="N54" s="113"/>
      <c r="O54" s="113"/>
      <c r="P54" s="113"/>
      <c r="Q54" s="109"/>
    </row>
    <row r="55" spans="2:17">
      <c r="B55" s="132" t="s">
        <v>45</v>
      </c>
      <c r="C55" s="512">
        <f>'BW2-Field Act. Labor &amp; Mach.'!$I$69</f>
        <v>14.511310000000002</v>
      </c>
      <c r="D55" s="520">
        <f>'BW2-Field Act. Labor &amp; Mach.'!K69</f>
        <v>5.9046727740142977</v>
      </c>
      <c r="E55" s="520">
        <f>'BW2-Field Act. Labor &amp; Mach.'!L69</f>
        <v>8.041581086300118</v>
      </c>
      <c r="F55" s="526"/>
      <c r="G55" s="463"/>
      <c r="H55" s="463"/>
      <c r="J55" s="110"/>
      <c r="K55" s="112"/>
      <c r="L55" s="112"/>
      <c r="M55" s="113"/>
      <c r="N55" s="113"/>
      <c r="O55" s="113"/>
      <c r="P55" s="113"/>
      <c r="Q55" s="109"/>
    </row>
    <row r="56" spans="2:17">
      <c r="B56" s="500" t="str">
        <f>'BW3-Variable Input'!$B$33</f>
        <v>Winter cover crop seed</v>
      </c>
      <c r="C56" s="513"/>
      <c r="D56" s="521"/>
      <c r="E56" s="521"/>
      <c r="F56" s="527">
        <f>'BW3-Variable Input'!$C$33</f>
        <v>31.793452380952385</v>
      </c>
      <c r="G56" s="485"/>
      <c r="H56" s="485"/>
      <c r="J56" s="110"/>
      <c r="K56" s="112"/>
      <c r="L56" s="112"/>
      <c r="M56" s="113"/>
      <c r="N56" s="113"/>
      <c r="O56" s="113"/>
      <c r="P56" s="113"/>
      <c r="Q56" s="109"/>
    </row>
    <row r="57" spans="2:17" s="453" customFormat="1">
      <c r="B57" s="824" t="s">
        <v>508</v>
      </c>
      <c r="C57" s="444">
        <f>SUM(C50:C56)</f>
        <v>69.918129999999991</v>
      </c>
      <c r="D57" s="444">
        <f>SUM(D50:D56)</f>
        <v>34.890134177363507</v>
      </c>
      <c r="E57" s="444">
        <f>SUM(E50:E56)</f>
        <v>47.07921513836061</v>
      </c>
      <c r="F57" s="444">
        <f>SUM(F50:F56)</f>
        <v>31.793452380952385</v>
      </c>
      <c r="G57" s="447" t="s">
        <v>4</v>
      </c>
      <c r="H57" s="446">
        <f>SUM(C57:F57)</f>
        <v>183.68093169667648</v>
      </c>
      <c r="J57" s="117"/>
      <c r="K57" s="476"/>
      <c r="L57" s="476"/>
      <c r="M57" s="478"/>
      <c r="N57" s="478"/>
      <c r="O57" s="478"/>
      <c r="P57" s="478"/>
      <c r="Q57" s="475"/>
    </row>
    <row r="58" spans="2:17" s="120" customFormat="1">
      <c r="B58" s="593"/>
      <c r="C58" s="133"/>
      <c r="D58" s="133"/>
      <c r="E58" s="133"/>
      <c r="F58" s="133"/>
      <c r="G58" s="463"/>
      <c r="H58" s="463"/>
      <c r="J58" s="115"/>
      <c r="K58" s="825"/>
      <c r="L58" s="127"/>
      <c r="M58" s="113"/>
      <c r="N58" s="113"/>
      <c r="O58" s="113"/>
      <c r="P58" s="113"/>
    </row>
    <row r="59" spans="2:17" s="453" customFormat="1">
      <c r="B59" s="116" t="s">
        <v>515</v>
      </c>
      <c r="C59" s="444">
        <f>C40+C46+C57</f>
        <v>4385.0394693371709</v>
      </c>
      <c r="D59" s="444">
        <f>D40+D46+D57</f>
        <v>203.74350816290891</v>
      </c>
      <c r="E59" s="444">
        <f>E40+E46+E57</f>
        <v>347.53610413985609</v>
      </c>
      <c r="F59" s="444">
        <f>F40+F46+F57</f>
        <v>1741.8512879978102</v>
      </c>
      <c r="G59" s="447" t="s">
        <v>4</v>
      </c>
      <c r="H59" s="446">
        <f>SUM(C59:F59)</f>
        <v>6678.1703696377463</v>
      </c>
      <c r="J59" s="117"/>
      <c r="K59" s="476"/>
      <c r="L59" s="476"/>
      <c r="M59" s="478"/>
      <c r="N59" s="478"/>
      <c r="O59" s="478"/>
      <c r="P59" s="478"/>
      <c r="Q59" s="475"/>
    </row>
    <row r="60" spans="2:17">
      <c r="B60" s="114"/>
      <c r="C60" s="133"/>
      <c r="D60" s="133"/>
      <c r="E60" s="133"/>
      <c r="F60" s="133"/>
      <c r="G60" s="463"/>
      <c r="H60" s="463"/>
      <c r="J60" s="110"/>
      <c r="K60" s="112"/>
      <c r="L60" s="112"/>
      <c r="M60" s="113"/>
      <c r="N60" s="113"/>
      <c r="O60" s="113"/>
      <c r="P60" s="113"/>
      <c r="Q60" s="109"/>
    </row>
    <row r="61" spans="2:17">
      <c r="B61" s="1032"/>
      <c r="C61" s="1033"/>
      <c r="D61" s="1033"/>
      <c r="E61" s="1033"/>
      <c r="F61" s="1033"/>
      <c r="G61" s="1033"/>
      <c r="H61" s="1033"/>
    </row>
    <row r="62" spans="2:17">
      <c r="B62" s="916"/>
      <c r="C62" s="916"/>
      <c r="D62" s="916"/>
      <c r="E62" s="916"/>
      <c r="F62" s="916"/>
      <c r="G62" s="916"/>
      <c r="H62" s="916"/>
    </row>
    <row r="63" spans="2:17">
      <c r="B63" s="116" t="s">
        <v>664</v>
      </c>
      <c r="C63" s="916"/>
      <c r="D63" s="916"/>
      <c r="E63" s="916"/>
      <c r="F63" s="916"/>
      <c r="G63" s="916"/>
      <c r="H63" s="916"/>
    </row>
    <row r="64" spans="2:17">
      <c r="B64" s="985" t="s">
        <v>668</v>
      </c>
      <c r="C64" s="916"/>
      <c r="D64" s="916"/>
      <c r="E64" s="916"/>
      <c r="F64" s="916"/>
      <c r="G64" s="916"/>
      <c r="H64" s="986">
        <f>C40+C57</f>
        <v>1456.3932693371703</v>
      </c>
    </row>
    <row r="65" spans="2:16">
      <c r="B65" s="135" t="s">
        <v>667</v>
      </c>
      <c r="C65" s="916"/>
      <c r="D65" s="916"/>
      <c r="E65" s="916"/>
      <c r="F65" s="916"/>
      <c r="G65" s="916"/>
      <c r="H65" s="986">
        <f>D40+D57</f>
        <v>202.14932454141177</v>
      </c>
    </row>
    <row r="66" spans="2:16">
      <c r="B66" s="985" t="s">
        <v>669</v>
      </c>
      <c r="C66" s="469"/>
      <c r="D66" s="133"/>
      <c r="E66" s="444"/>
      <c r="F66" s="464"/>
      <c r="G66" s="442"/>
      <c r="H66" s="463">
        <f>F40+F57</f>
        <v>1741.8512879978102</v>
      </c>
      <c r="I66" s="115"/>
      <c r="J66" s="118"/>
      <c r="K66" s="112"/>
      <c r="L66" s="113"/>
      <c r="M66" s="113"/>
      <c r="N66" s="113"/>
      <c r="O66" s="113"/>
      <c r="P66" s="109"/>
    </row>
    <row r="67" spans="2:16">
      <c r="B67" s="831" t="s">
        <v>666</v>
      </c>
      <c r="C67" s="469"/>
      <c r="D67" s="469"/>
      <c r="E67" s="592"/>
      <c r="F67" s="464"/>
      <c r="G67" s="442"/>
      <c r="H67" s="848">
        <f>SUM(H64:H66)</f>
        <v>3400.3938818763922</v>
      </c>
      <c r="I67" s="132"/>
      <c r="J67" s="112"/>
      <c r="K67" s="112"/>
      <c r="L67" s="113"/>
      <c r="M67" s="113"/>
      <c r="N67" s="113"/>
      <c r="O67" s="113"/>
      <c r="P67" s="109"/>
    </row>
    <row r="68" spans="2:16">
      <c r="B68" s="985" t="s">
        <v>680</v>
      </c>
      <c r="C68" s="469"/>
      <c r="D68" s="469"/>
      <c r="E68" s="469"/>
      <c r="F68" s="132"/>
      <c r="G68" s="442"/>
      <c r="H68" s="463">
        <f>C46</f>
        <v>2928.6462000000001</v>
      </c>
      <c r="I68" s="132"/>
      <c r="J68" s="112"/>
      <c r="K68" s="112"/>
      <c r="L68" s="113"/>
      <c r="M68" s="113"/>
      <c r="N68" s="113"/>
      <c r="O68" s="113"/>
      <c r="P68" s="109"/>
    </row>
    <row r="69" spans="2:16">
      <c r="B69" s="985" t="s">
        <v>445</v>
      </c>
      <c r="C69" s="469"/>
      <c r="D69" s="469"/>
      <c r="E69" s="469"/>
      <c r="F69" s="132"/>
      <c r="G69" s="442"/>
      <c r="H69" s="463">
        <f>D46</f>
        <v>1.5941836214971243</v>
      </c>
      <c r="I69" s="132"/>
      <c r="J69" s="112"/>
      <c r="K69" s="112"/>
      <c r="L69" s="113"/>
      <c r="M69" s="113"/>
      <c r="N69" s="113"/>
      <c r="O69" s="113"/>
      <c r="P69" s="109"/>
    </row>
    <row r="70" spans="2:16">
      <c r="B70" s="985" t="s">
        <v>670</v>
      </c>
      <c r="C70" s="469"/>
      <c r="D70" s="444"/>
      <c r="E70" s="469"/>
      <c r="F70" s="132"/>
      <c r="G70" s="132"/>
      <c r="H70" s="463">
        <f>F46</f>
        <v>0</v>
      </c>
      <c r="I70" s="132"/>
      <c r="J70" s="112"/>
      <c r="K70" s="112"/>
      <c r="L70" s="113"/>
      <c r="M70" s="113"/>
      <c r="N70" s="113"/>
      <c r="O70" s="113"/>
      <c r="P70" s="109"/>
    </row>
    <row r="71" spans="2:16">
      <c r="B71" s="831" t="s">
        <v>671</v>
      </c>
      <c r="C71" s="43"/>
      <c r="D71" s="43"/>
      <c r="E71" s="832"/>
      <c r="F71" s="43"/>
      <c r="G71" s="43"/>
      <c r="H71" s="598">
        <f>SUM(H68:H70)</f>
        <v>2930.2403836214971</v>
      </c>
      <c r="I71" s="132"/>
      <c r="J71" s="112"/>
      <c r="K71" s="112"/>
      <c r="L71" s="113"/>
      <c r="M71" s="113"/>
      <c r="N71" s="113"/>
      <c r="O71" s="113"/>
      <c r="P71" s="109"/>
    </row>
    <row r="72" spans="2:16">
      <c r="B72" s="833" t="s">
        <v>513</v>
      </c>
      <c r="C72" s="919"/>
      <c r="D72" s="919"/>
      <c r="E72" s="987"/>
      <c r="F72" s="988"/>
      <c r="G72" s="919"/>
      <c r="H72" s="818">
        <f>H67+H71</f>
        <v>6330.6342654978889</v>
      </c>
      <c r="I72" s="132"/>
      <c r="J72" s="112"/>
      <c r="K72" s="112"/>
      <c r="L72" s="113"/>
      <c r="M72" s="113"/>
      <c r="N72" s="113"/>
      <c r="O72" s="113"/>
      <c r="P72" s="109"/>
    </row>
    <row r="73" spans="2:16">
      <c r="B73" s="985" t="s">
        <v>672</v>
      </c>
      <c r="C73" s="135"/>
      <c r="D73" s="135"/>
      <c r="E73" s="472"/>
      <c r="F73" s="135"/>
      <c r="G73" s="135"/>
      <c r="H73" s="989">
        <f>E40+E57</f>
        <v>338.71508141258334</v>
      </c>
      <c r="I73" s="132"/>
      <c r="J73" s="112"/>
      <c r="K73" s="112"/>
      <c r="L73" s="113"/>
      <c r="M73" s="113"/>
      <c r="N73" s="113"/>
      <c r="O73" s="113"/>
      <c r="P73" s="109"/>
    </row>
    <row r="74" spans="2:16">
      <c r="B74" s="985" t="s">
        <v>673</v>
      </c>
      <c r="C74" s="135"/>
      <c r="D74" s="135"/>
      <c r="E74" s="472"/>
      <c r="F74" s="135"/>
      <c r="G74" s="135"/>
      <c r="H74" s="990">
        <f>E46</f>
        <v>8.8210227272727266</v>
      </c>
      <c r="I74" s="132"/>
      <c r="J74" s="112"/>
      <c r="K74" s="112"/>
      <c r="L74" s="113"/>
      <c r="M74" s="113"/>
      <c r="N74" s="113"/>
      <c r="O74" s="113"/>
      <c r="P74" s="109"/>
    </row>
    <row r="75" spans="2:16">
      <c r="B75" s="837" t="s">
        <v>514</v>
      </c>
      <c r="C75" s="919"/>
      <c r="D75" s="919"/>
      <c r="E75" s="987"/>
      <c r="F75" s="988"/>
      <c r="G75" s="919"/>
      <c r="H75" s="819">
        <f>H73+H74</f>
        <v>347.53610413985609</v>
      </c>
      <c r="I75" s="132"/>
      <c r="J75" s="112"/>
      <c r="K75" s="112"/>
      <c r="L75" s="113"/>
      <c r="M75" s="113"/>
      <c r="N75" s="113"/>
      <c r="O75" s="113"/>
      <c r="P75" s="109"/>
    </row>
    <row r="76" spans="2:16">
      <c r="B76" s="264"/>
      <c r="C76" s="469"/>
      <c r="D76" s="242"/>
      <c r="E76" s="469"/>
      <c r="F76" s="132"/>
      <c r="G76" s="132"/>
      <c r="H76" s="442"/>
      <c r="I76" s="132"/>
      <c r="J76" s="112"/>
      <c r="K76" s="112"/>
      <c r="L76" s="113"/>
      <c r="M76" s="113"/>
      <c r="N76" s="113"/>
      <c r="O76" s="113"/>
      <c r="P76" s="109"/>
    </row>
    <row r="77" spans="2:16">
      <c r="B77" s="132"/>
      <c r="C77" s="469"/>
      <c r="D77" s="469"/>
      <c r="E77" s="469"/>
      <c r="F77" s="132"/>
      <c r="G77" s="442"/>
      <c r="H77" s="442"/>
      <c r="I77" s="132"/>
      <c r="J77" s="112"/>
      <c r="K77" s="112"/>
      <c r="L77" s="111"/>
      <c r="M77" s="111"/>
      <c r="N77" s="111"/>
      <c r="O77" s="111"/>
      <c r="P77" s="109"/>
    </row>
    <row r="78" spans="2:16">
      <c r="B78" s="132"/>
      <c r="C78" s="132"/>
      <c r="D78" s="132"/>
      <c r="E78" s="132"/>
      <c r="F78" s="132"/>
      <c r="G78" s="442"/>
      <c r="H78" s="442"/>
      <c r="I78" s="132"/>
      <c r="J78" s="112"/>
      <c r="K78" s="112"/>
      <c r="L78" s="111"/>
      <c r="M78" s="111"/>
      <c r="N78" s="111"/>
      <c r="O78" s="111"/>
      <c r="P78" s="109"/>
    </row>
    <row r="79" spans="2:16">
      <c r="B79" s="133"/>
      <c r="C79" s="133"/>
      <c r="D79" s="133"/>
      <c r="E79" s="133"/>
      <c r="G79" s="243"/>
      <c r="H79" s="109"/>
      <c r="I79" s="110"/>
      <c r="L79" s="109"/>
      <c r="M79" s="109"/>
      <c r="N79" s="109"/>
      <c r="O79" s="109"/>
      <c r="P79"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85"/>
  <sheetViews>
    <sheetView showGridLines="0" view="pageLayout" topLeftCell="A26" workbookViewId="0">
      <selection activeCell="B48" sqref="B48"/>
    </sheetView>
  </sheetViews>
  <sheetFormatPr baseColWidth="10" defaultColWidth="8.7109375" defaultRowHeight="15" x14ac:dyDescent="0"/>
  <cols>
    <col min="1" max="1" width="1" customWidth="1"/>
    <col min="2" max="2" width="43.42578125" customWidth="1"/>
    <col min="3" max="6" width="17.85546875" customWidth="1"/>
    <col min="7" max="7" width="9" customWidth="1"/>
    <col min="8" max="8" width="16.7109375" customWidth="1"/>
    <col min="12" max="12" width="11.5703125" customWidth="1"/>
  </cols>
  <sheetData>
    <row r="1" spans="2:17" ht="16" thickBot="1">
      <c r="F1" s="563"/>
      <c r="G1" s="1263" t="s">
        <v>512</v>
      </c>
      <c r="H1" s="1264"/>
    </row>
    <row r="2" spans="2:17" ht="25" customHeight="1">
      <c r="B2" s="1024" t="str">
        <f>'Workbook Index'!B36</f>
        <v>Eggplant</v>
      </c>
      <c r="C2" s="221"/>
      <c r="D2" s="221"/>
      <c r="E2" s="221"/>
    </row>
    <row r="3" spans="2:17" ht="33.5" customHeight="1">
      <c r="B3" s="1027" t="s">
        <v>716</v>
      </c>
      <c r="C3" s="132" t="s">
        <v>367</v>
      </c>
      <c r="E3" s="222" t="s">
        <v>14</v>
      </c>
      <c r="I3" s="6"/>
      <c r="J3" s="6"/>
      <c r="K3" s="6"/>
      <c r="L3" s="6"/>
    </row>
    <row r="4" spans="2:17">
      <c r="B4" s="918"/>
      <c r="C4" s="132" t="s">
        <v>47</v>
      </c>
      <c r="D4" s="135"/>
      <c r="E4" s="1068">
        <f>'BW1-Bed and Row Spacing'!J18</f>
        <v>4148.5714285714284</v>
      </c>
      <c r="F4" s="135"/>
      <c r="G4" s="135"/>
      <c r="H4" s="135"/>
      <c r="I4" s="6"/>
      <c r="J4" s="6"/>
      <c r="K4" s="6"/>
      <c r="L4" s="6"/>
    </row>
    <row r="5" spans="2:17">
      <c r="B5" s="915"/>
      <c r="C5" s="132" t="s">
        <v>366</v>
      </c>
      <c r="D5" s="135"/>
      <c r="E5" s="1340" t="s">
        <v>824</v>
      </c>
      <c r="F5" s="1340"/>
      <c r="G5" s="1340"/>
      <c r="H5" s="1340"/>
      <c r="I5" s="6"/>
      <c r="J5" s="6"/>
      <c r="K5" s="6"/>
      <c r="L5" s="6"/>
    </row>
    <row r="6" spans="2:17">
      <c r="B6" s="223"/>
      <c r="C6" s="915"/>
      <c r="D6" s="135"/>
      <c r="E6" s="1340"/>
      <c r="F6" s="1340"/>
      <c r="G6" s="1340"/>
      <c r="H6" s="1340"/>
      <c r="I6" s="6"/>
    </row>
    <row r="7" spans="2:17" s="108" customFormat="1">
      <c r="B7" s="1032"/>
      <c r="C7" s="1033"/>
      <c r="D7" s="1033"/>
      <c r="E7" s="1033"/>
      <c r="F7" s="1033"/>
      <c r="G7" s="1033"/>
      <c r="H7" s="1033"/>
    </row>
    <row r="8" spans="2:17" s="108" customFormat="1">
      <c r="B8" s="553" t="s">
        <v>517</v>
      </c>
      <c r="C8" s="492"/>
      <c r="D8" s="492"/>
      <c r="E8" s="492"/>
      <c r="F8" s="492"/>
      <c r="G8" s="492"/>
      <c r="H8" s="492"/>
    </row>
    <row r="9" spans="2:17" ht="33" customHeight="1">
      <c r="B9" s="420" t="s">
        <v>711</v>
      </c>
      <c r="C9" s="421" t="s">
        <v>707</v>
      </c>
      <c r="D9" s="421" t="s">
        <v>708</v>
      </c>
      <c r="E9" s="421" t="s">
        <v>709</v>
      </c>
      <c r="F9" s="421" t="s">
        <v>710</v>
      </c>
      <c r="G9" s="919"/>
      <c r="H9" s="920"/>
      <c r="M9" s="112"/>
      <c r="N9" s="112"/>
      <c r="O9" s="112"/>
      <c r="P9" s="6"/>
      <c r="Q9" s="6"/>
    </row>
    <row r="10" spans="2:17" ht="30">
      <c r="B10" s="993" t="s">
        <v>516</v>
      </c>
      <c r="C10" s="991" t="s">
        <v>849</v>
      </c>
      <c r="D10" s="991" t="s">
        <v>849</v>
      </c>
      <c r="E10" s="991" t="s">
        <v>849</v>
      </c>
      <c r="F10" s="991" t="s">
        <v>850</v>
      </c>
      <c r="G10" s="992"/>
      <c r="H10" s="462"/>
      <c r="M10" s="112"/>
      <c r="N10" s="112"/>
      <c r="O10" s="6"/>
      <c r="P10" s="6"/>
    </row>
    <row r="11" spans="2:17" ht="15" customHeight="1">
      <c r="B11" s="922" t="s">
        <v>181</v>
      </c>
      <c r="C11" s="999"/>
      <c r="D11" s="1000"/>
      <c r="E11" s="1000"/>
      <c r="F11" s="1001"/>
      <c r="G11" s="509"/>
      <c r="H11" s="509"/>
    </row>
    <row r="12" spans="2:17">
      <c r="B12" s="265" t="s">
        <v>145</v>
      </c>
      <c r="C12" s="512">
        <f>'BW2-Field Act. Labor &amp; Mach.'!I9</f>
        <v>9.23447</v>
      </c>
      <c r="D12" s="520">
        <f>'BW2-Field Act. Labor &amp; Mach.'!K9</f>
        <v>7.1626812745625896</v>
      </c>
      <c r="E12" s="520">
        <f>'BW2-Field Act. Labor &amp; Mach.'!L9</f>
        <v>6.5697668891297312</v>
      </c>
      <c r="F12" s="526"/>
      <c r="G12" s="470"/>
      <c r="H12" s="470"/>
    </row>
    <row r="13" spans="2:17">
      <c r="B13" s="132" t="s">
        <v>46</v>
      </c>
      <c r="C13" s="512">
        <f>'BW2-Field Act. Labor &amp; Mach.'!I10</f>
        <v>11.87289</v>
      </c>
      <c r="D13" s="520">
        <f>'BW2-Field Act. Labor &amp; Mach.'!K10</f>
        <v>16.900081383311999</v>
      </c>
      <c r="E13" s="520">
        <f>'BW2-Field Act. Labor &amp; Mach.'!L10</f>
        <v>23.703168100043012</v>
      </c>
      <c r="F13" s="526"/>
      <c r="G13" s="86"/>
      <c r="H13" s="470"/>
    </row>
    <row r="14" spans="2:17">
      <c r="B14" s="151" t="s">
        <v>69</v>
      </c>
      <c r="C14" s="512"/>
      <c r="D14" s="520"/>
      <c r="E14" s="520"/>
      <c r="F14" s="526">
        <f>'BW3-Variable Input'!C9</f>
        <v>116.66666666666667</v>
      </c>
      <c r="G14" s="86"/>
      <c r="H14" s="470"/>
    </row>
    <row r="15" spans="2:17">
      <c r="B15" s="473" t="s">
        <v>11</v>
      </c>
      <c r="C15" s="512">
        <f>'BW2-Field Act. Labor &amp; Mach.'!I13</f>
        <v>22.426569999999998</v>
      </c>
      <c r="D15" s="520">
        <f>'BW2-Field Act. Labor &amp; Mach.'!K13</f>
        <v>17.993866831056</v>
      </c>
      <c r="E15" s="520">
        <f>'BW2-Field Act. Labor &amp; Mach.'!L13</f>
        <v>44.771770188886023</v>
      </c>
      <c r="F15" s="538"/>
      <c r="G15" s="86"/>
      <c r="H15" s="471"/>
    </row>
    <row r="16" spans="2:17">
      <c r="B16" s="10" t="s">
        <v>12</v>
      </c>
      <c r="C16" s="532"/>
      <c r="D16" s="535">
        <f>'BW2-Field Act. Labor &amp; Mach.'!K14</f>
        <v>9.2140341759999984</v>
      </c>
      <c r="E16" s="535">
        <f>'BW2-Field Act. Labor &amp; Mach.'!L14</f>
        <v>29.935417361494395</v>
      </c>
      <c r="F16" s="538"/>
      <c r="G16" s="86"/>
      <c r="H16" s="471"/>
    </row>
    <row r="17" spans="2:8">
      <c r="B17" s="10" t="s">
        <v>13</v>
      </c>
      <c r="C17" s="532">
        <f>'BW2-Field Act. Labor &amp; Mach.'!I17</f>
        <v>72.556550000000001</v>
      </c>
      <c r="D17" s="535">
        <f>'BW2-Field Act. Labor &amp; Mach.'!K17</f>
        <v>18.413226025968029</v>
      </c>
      <c r="E17" s="535">
        <f>'BW2-Field Act. Labor &amp; Mach.'!L17</f>
        <v>38.951406687324337</v>
      </c>
      <c r="F17" s="538"/>
      <c r="G17" s="86"/>
      <c r="H17" s="471"/>
    </row>
    <row r="18" spans="2:8">
      <c r="B18" s="151" t="str">
        <f>'BW3-Variable Input'!B19</f>
        <v>Plastic mulch for 84" bed spacing</v>
      </c>
      <c r="C18" s="532"/>
      <c r="D18" s="535"/>
      <c r="E18" s="535"/>
      <c r="F18" s="526">
        <f>'BW3-Variable Input'!C19</f>
        <v>77.785714285714278</v>
      </c>
      <c r="G18" s="86"/>
      <c r="H18" s="471"/>
    </row>
    <row r="19" spans="2:8">
      <c r="B19" s="151" t="s">
        <v>313</v>
      </c>
      <c r="C19" s="532"/>
      <c r="D19" s="535"/>
      <c r="E19" s="535"/>
      <c r="F19" s="526">
        <f>'BW3-Variable Input'!C21</f>
        <v>33.880000000000003</v>
      </c>
      <c r="G19" s="86"/>
      <c r="H19" s="471"/>
    </row>
    <row r="20" spans="2:8">
      <c r="B20" s="418" t="s">
        <v>315</v>
      </c>
      <c r="C20" s="533"/>
      <c r="D20" s="536"/>
      <c r="E20" s="536"/>
      <c r="F20" s="527">
        <f>'BW3-Variable Input'!C11</f>
        <v>186</v>
      </c>
      <c r="G20" s="488"/>
      <c r="H20" s="484"/>
    </row>
    <row r="21" spans="2:8">
      <c r="B21" s="10"/>
      <c r="C21" s="86"/>
      <c r="D21" s="86"/>
      <c r="E21" s="86"/>
      <c r="F21" s="86"/>
      <c r="G21" s="86"/>
      <c r="H21" s="467"/>
    </row>
    <row r="22" spans="2:8">
      <c r="B22" s="1003" t="s">
        <v>10</v>
      </c>
      <c r="C22" s="534"/>
      <c r="D22" s="537"/>
      <c r="E22" s="537"/>
      <c r="F22" s="539"/>
      <c r="G22" s="501"/>
      <c r="H22" s="502"/>
    </row>
    <row r="23" spans="2:8">
      <c r="B23" s="436" t="str">
        <f>'BW2-Field Act. Labor &amp; Mach.'!B22</f>
        <v>Transplant on plastic mulch</v>
      </c>
      <c r="C23" s="532">
        <f>'BW2-Field Act. Labor &amp; Mach.'!I22</f>
        <v>131.92099999999999</v>
      </c>
      <c r="D23" s="535">
        <f>'BW2-Field Act. Labor &amp; Mach.'!K22</f>
        <v>36.302136438428491</v>
      </c>
      <c r="E23" s="535">
        <f>'BW2-Field Act. Labor &amp; Mach.'!L22</f>
        <v>41.509045695666089</v>
      </c>
      <c r="F23" s="538"/>
      <c r="G23" s="86"/>
      <c r="H23" s="471"/>
    </row>
    <row r="24" spans="2:8">
      <c r="B24" s="151" t="s">
        <v>685</v>
      </c>
      <c r="C24" s="532"/>
      <c r="D24" s="535"/>
      <c r="E24" s="535"/>
      <c r="F24" s="538">
        <f>'BW4-Transplant Production'!F13</f>
        <v>116.37503428571432</v>
      </c>
      <c r="G24" s="1029" t="s">
        <v>720</v>
      </c>
      <c r="H24" s="470"/>
    </row>
    <row r="25" spans="2:8">
      <c r="B25" s="151" t="s">
        <v>459</v>
      </c>
      <c r="C25" s="532">
        <f>'BW4-Transplant Production'!D13</f>
        <v>673.94517869460344</v>
      </c>
      <c r="D25" s="535"/>
      <c r="E25" s="535"/>
      <c r="F25" s="538">
        <f>'BW4-Transplant Production'!J40</f>
        <v>348.18965593063365</v>
      </c>
      <c r="G25" s="1029" t="s">
        <v>720</v>
      </c>
      <c r="H25" s="470"/>
    </row>
    <row r="26" spans="2:8">
      <c r="B26" s="10" t="str">
        <f>'BW2-Field Act. Labor &amp; Mach.'!B25</f>
        <v>Seed living mulch between plastic beds</v>
      </c>
      <c r="C26" s="532">
        <f>'BW2-Field Act. Labor &amp; Mach.'!I25</f>
        <v>26.3842</v>
      </c>
      <c r="D26" s="535">
        <f>'BW2-Field Act. Labor &amp; Mach.'!K25</f>
        <v>1.5835499999999998</v>
      </c>
      <c r="E26" s="535">
        <f>'BW2-Field Act. Labor &amp; Mach.'!L25</f>
        <v>5.5640243902439019</v>
      </c>
      <c r="F26" s="538"/>
      <c r="G26" s="86"/>
      <c r="H26" s="471"/>
    </row>
    <row r="27" spans="2:8">
      <c r="B27" s="490" t="str">
        <f>'BW3-Variable Input'!B35</f>
        <v>Living mulch seed</v>
      </c>
      <c r="C27" s="533"/>
      <c r="D27" s="536"/>
      <c r="E27" s="536"/>
      <c r="F27" s="540">
        <f>'BW3-Variable Input'!C35</f>
        <v>79.866666666666674</v>
      </c>
      <c r="G27" s="488"/>
      <c r="H27" s="484"/>
    </row>
    <row r="28" spans="2:8">
      <c r="B28" s="10"/>
      <c r="C28" s="86"/>
      <c r="D28" s="86"/>
      <c r="E28" s="86"/>
      <c r="F28" s="86"/>
      <c r="G28" s="86"/>
      <c r="H28" s="467"/>
    </row>
    <row r="29" spans="2:8">
      <c r="B29" s="1003" t="s">
        <v>37</v>
      </c>
      <c r="C29" s="534"/>
      <c r="D29" s="537"/>
      <c r="E29" s="537"/>
      <c r="F29" s="539"/>
      <c r="G29" s="501"/>
      <c r="H29" s="502"/>
    </row>
    <row r="30" spans="2:8">
      <c r="B30" s="462" t="s">
        <v>179</v>
      </c>
      <c r="C30" s="512">
        <f>'BW2-Field Act. Labor &amp; Mach.'!$I$31*2</f>
        <v>10.55368</v>
      </c>
      <c r="D30" s="520">
        <f>'BW2-Field Act. Labor &amp; Mach.'!K31*2</f>
        <v>1.6570295666513035</v>
      </c>
      <c r="E30" s="520">
        <f>'BW2-Field Act. Labor &amp; Mach.'!L31*2</f>
        <v>27.363002680965153</v>
      </c>
      <c r="F30" s="538"/>
      <c r="G30" s="86"/>
      <c r="H30" s="86"/>
    </row>
    <row r="31" spans="2:8">
      <c r="B31" s="151" t="str">
        <f>'BW5-Irrigation'!$B$8</f>
        <v>Irrigation supply cost</v>
      </c>
      <c r="C31" s="512"/>
      <c r="D31" s="520"/>
      <c r="E31" s="520"/>
      <c r="F31" s="526">
        <f>'BW5-Irrigation'!$E$8</f>
        <v>32.773534158149545</v>
      </c>
      <c r="G31" s="1029" t="s">
        <v>851</v>
      </c>
      <c r="H31" s="471"/>
    </row>
    <row r="32" spans="2:8">
      <c r="B32" s="132" t="str">
        <f>'BW5-Irrigation'!$B$9</f>
        <v>Irrigation set-up labor cost</v>
      </c>
      <c r="C32" s="512">
        <f>'BW5-Irrigation'!$E$9</f>
        <v>50.735370890410955</v>
      </c>
      <c r="D32" s="520"/>
      <c r="E32" s="520"/>
      <c r="F32" s="526"/>
      <c r="G32" s="1029" t="s">
        <v>851</v>
      </c>
      <c r="H32" s="471"/>
    </row>
    <row r="33" spans="2:9">
      <c r="B33" s="10" t="s">
        <v>336</v>
      </c>
      <c r="C33" s="532">
        <f>('BW2-Field Act. Labor &amp; Mach.'!I39)*'BW5-Irrigation'!C23</f>
        <v>263.84199999999998</v>
      </c>
      <c r="D33" s="535"/>
      <c r="E33" s="535"/>
      <c r="F33" s="538"/>
      <c r="G33" s="86"/>
      <c r="H33" s="86"/>
    </row>
    <row r="34" spans="2:9">
      <c r="B34" s="132" t="str">
        <f>'BW2-Field Act. Labor &amp; Mach.'!B30</f>
        <v>Cultivate plastic mulch</v>
      </c>
      <c r="C34" s="512">
        <f>'BW2-Field Act. Labor &amp; Mach.'!$I$30</f>
        <v>7.91526</v>
      </c>
      <c r="D34" s="520">
        <f>'BW2-Field Act. Labor &amp; Mach.'!K30</f>
        <v>1.9002599999999996</v>
      </c>
      <c r="E34" s="520">
        <f>'BW2-Field Act. Labor &amp; Mach.'!L30</f>
        <v>6.676829268292682</v>
      </c>
      <c r="F34" s="526"/>
      <c r="G34" s="86"/>
      <c r="H34" s="86"/>
    </row>
    <row r="35" spans="2:9">
      <c r="B35" s="473" t="s">
        <v>136</v>
      </c>
      <c r="C35" s="517">
        <v>197.88</v>
      </c>
      <c r="D35" s="523">
        <f>'BW2-Field Act. Labor &amp; Mach.'!K45</f>
        <v>5.6792833599999994</v>
      </c>
      <c r="E35" s="523">
        <f>'BW2-Field Act. Labor &amp; Mach.'!L45</f>
        <v>4.8213885683253004</v>
      </c>
      <c r="F35" s="530"/>
      <c r="G35" s="86"/>
      <c r="H35" s="86"/>
    </row>
    <row r="36" spans="2:9">
      <c r="B36" s="510" t="s">
        <v>341</v>
      </c>
      <c r="C36" s="517"/>
      <c r="D36" s="523"/>
      <c r="E36" s="523"/>
      <c r="F36" s="526">
        <f>'BW3-Variable Input'!$C$27</f>
        <v>654.99851816666671</v>
      </c>
      <c r="G36" s="86"/>
      <c r="H36" s="471"/>
    </row>
    <row r="37" spans="2:9">
      <c r="B37" s="473" t="s">
        <v>188</v>
      </c>
      <c r="C37" s="517">
        <v>79.150000000000006</v>
      </c>
      <c r="D37" s="523">
        <f>'BW2-Field Act. Labor &amp; Mach.'!K46</f>
        <v>5.6792833599999994</v>
      </c>
      <c r="E37" s="523">
        <f>'BW2-Field Act. Labor &amp; Mach.'!L46</f>
        <v>4.8213885683253004</v>
      </c>
      <c r="F37" s="530"/>
      <c r="G37" s="86"/>
      <c r="H37" s="471"/>
    </row>
    <row r="38" spans="2:9">
      <c r="B38" s="265" t="str">
        <f>'BW2-Field Act. Labor &amp; Mach.'!$B$35</f>
        <v>Handweed plastic mulch holes</v>
      </c>
      <c r="C38" s="512">
        <f>'BW2-Field Act. Labor &amp; Mach.'!$I$35</f>
        <v>65.960499999999996</v>
      </c>
      <c r="D38" s="520"/>
      <c r="E38" s="520"/>
      <c r="F38" s="526"/>
      <c r="G38" s="86"/>
      <c r="H38" s="471"/>
    </row>
    <row r="39" spans="2:9">
      <c r="B39" s="10" t="s">
        <v>326</v>
      </c>
      <c r="C39" s="532">
        <f>'BW2-Field Act. Labor &amp; Mach.'!I37*3</f>
        <v>39.576300000000003</v>
      </c>
      <c r="D39" s="535">
        <f>'BW2-Field Act. Labor &amp; Mach.'!K37*3</f>
        <v>30.546664935780097</v>
      </c>
      <c r="E39" s="535">
        <f>'BW2-Field Act. Labor &amp; Mach.'!L37*3</f>
        <v>39.314799296778247</v>
      </c>
      <c r="F39" s="538"/>
      <c r="G39" s="86"/>
      <c r="H39" s="471"/>
    </row>
    <row r="40" spans="2:9">
      <c r="B40" s="414" t="s">
        <v>501</v>
      </c>
      <c r="C40" s="532"/>
      <c r="D40" s="535"/>
      <c r="E40" s="535"/>
      <c r="F40" s="538">
        <f>'BW3-Variable Input'!C57</f>
        <v>41.093801870748301</v>
      </c>
      <c r="G40" s="86"/>
      <c r="H40" s="471"/>
    </row>
    <row r="41" spans="2:9">
      <c r="B41" s="10" t="s">
        <v>159</v>
      </c>
      <c r="C41" s="532">
        <f>'BW2-Field Act. Labor &amp; Mach.'!I33*3</f>
        <v>31.66104</v>
      </c>
      <c r="D41" s="535">
        <f>'BW2-Field Act. Labor &amp; Mach.'!K33*3</f>
        <v>14.904</v>
      </c>
      <c r="E41" s="535">
        <f>'BW2-Field Act. Labor &amp; Mach.'!L33*3</f>
        <v>66.625647668393796</v>
      </c>
      <c r="F41" s="538"/>
      <c r="G41" s="86"/>
      <c r="H41" s="471"/>
    </row>
    <row r="42" spans="2:9">
      <c r="B42" s="10" t="s">
        <v>300</v>
      </c>
      <c r="C42" s="532">
        <f>'BW2-Field Act. Labor &amp; Mach.'!$I$40*('BW5-Irrigation'!D23+'BW5-Irrigation'!E23)</f>
        <v>68.598920000000007</v>
      </c>
      <c r="D42" s="535">
        <f>'BW2-Field Act. Labor &amp; Mach.'!K40*('BW5-Irrigation'!C23+'BW5-Irrigation'!D23+'BW5-Irrigation'!E23)</f>
        <v>264.62776639977335</v>
      </c>
      <c r="E42" s="535">
        <f>'BW2-Field Act. Labor &amp; Mach.'!L40*('BW5-Irrigation'!C23+'BW5-Irrigation'!D23+'BW5-Irrigation'!E23)</f>
        <v>343.81640100374636</v>
      </c>
      <c r="F42" s="538"/>
      <c r="G42" s="1004"/>
      <c r="H42" s="86"/>
    </row>
    <row r="43" spans="2:9">
      <c r="B43" s="482" t="s">
        <v>611</v>
      </c>
      <c r="C43" s="532"/>
      <c r="D43" s="535"/>
      <c r="E43" s="535"/>
      <c r="F43" s="538">
        <f>'BW3-Variable Input'!$C$14*'BW5-Irrigation'!D23</f>
        <v>72</v>
      </c>
      <c r="G43" s="923" t="s">
        <v>851</v>
      </c>
      <c r="H43" s="471"/>
    </row>
    <row r="44" spans="2:9">
      <c r="B44" s="482" t="s">
        <v>612</v>
      </c>
      <c r="C44" s="532"/>
      <c r="D44" s="535"/>
      <c r="E44" s="535"/>
      <c r="F44" s="538">
        <f>'BW3-Variable Input'!$C$15*'BW5-Irrigation'!E23</f>
        <v>34</v>
      </c>
      <c r="G44" s="923" t="s">
        <v>851</v>
      </c>
      <c r="H44" s="471"/>
    </row>
    <row r="45" spans="2:9">
      <c r="B45" s="503" t="s">
        <v>613</v>
      </c>
      <c r="C45" s="518"/>
      <c r="D45" s="524"/>
      <c r="E45" s="524"/>
      <c r="F45" s="531">
        <f>'BW3-Variable Input'!$C$16*'BW5-Irrigation'!F23</f>
        <v>19.5</v>
      </c>
      <c r="G45" s="925" t="s">
        <v>851</v>
      </c>
      <c r="H45" s="484"/>
    </row>
    <row r="46" spans="2:9" s="454" customFormat="1">
      <c r="B46" s="824" t="s">
        <v>508</v>
      </c>
      <c r="C46" s="60">
        <f>SUM(C12:C20, C23:C27, C30:C45)</f>
        <v>1764.2139295850143</v>
      </c>
      <c r="D46" s="60">
        <f>SUM(D12:D20, D23:D27, D30:D45)</f>
        <v>432.56386375153181</v>
      </c>
      <c r="E46" s="60">
        <f>SUM(E12:E20, E23:E27, E30:E45)</f>
        <v>684.44405636761439</v>
      </c>
      <c r="F46" s="60">
        <f>SUM(F12:F20, F23:F27, F30:F45)</f>
        <v>1813.1295920309603</v>
      </c>
      <c r="G46" s="1005" t="s">
        <v>4</v>
      </c>
      <c r="H46" s="597">
        <f>SUM(C46:F46)</f>
        <v>4694.3514417351207</v>
      </c>
      <c r="I46" s="497"/>
    </row>
    <row r="47" spans="2:9" s="120" customFormat="1" ht="15" customHeight="1">
      <c r="B47" s="593"/>
      <c r="C47" s="133"/>
      <c r="D47" s="133"/>
      <c r="E47" s="133"/>
      <c r="F47" s="133"/>
      <c r="G47" s="924"/>
      <c r="H47" s="265"/>
    </row>
    <row r="48" spans="2:9" s="119" customFormat="1" ht="15" customHeight="1">
      <c r="B48" s="116" t="s">
        <v>914</v>
      </c>
      <c r="C48" s="133"/>
      <c r="D48" s="133"/>
      <c r="E48" s="133"/>
      <c r="F48" s="133"/>
      <c r="G48" s="924"/>
      <c r="H48" s="265"/>
    </row>
    <row r="49" spans="2:9">
      <c r="B49" s="1003" t="s">
        <v>3</v>
      </c>
      <c r="C49" s="1006"/>
      <c r="D49" s="1007"/>
      <c r="E49" s="1007"/>
      <c r="F49" s="1008"/>
      <c r="G49" s="1009"/>
      <c r="H49" s="1010"/>
      <c r="I49" s="11"/>
    </row>
    <row r="50" spans="2:9">
      <c r="B50" s="10" t="s">
        <v>190</v>
      </c>
      <c r="C50" s="532">
        <f>'BW6-Harvest and Wash-Pack'!D18*'BW6-Harvest and Wash-Pack'!G18</f>
        <v>1055.3679999999999</v>
      </c>
      <c r="D50" s="535">
        <f>'BW2-Field Act. Labor &amp; Mach.'!K54*'BW6-Harvest and Wash-Pack'!G18</f>
        <v>2.1255781619961658</v>
      </c>
      <c r="E50" s="535">
        <f>'BW2-Field Act. Labor &amp; Mach.'!L54*'BW6-Harvest and Wash-Pack'!G18</f>
        <v>11.761363636363635</v>
      </c>
      <c r="F50" s="538"/>
      <c r="G50" s="1029" t="s">
        <v>852</v>
      </c>
      <c r="H50" s="462"/>
      <c r="I50" s="11"/>
    </row>
    <row r="51" spans="2:9">
      <c r="B51" s="487" t="s">
        <v>360</v>
      </c>
      <c r="C51" s="533">
        <f>'BW6-Harvest and Wash-Pack'!F18*'BW6-Harvest and Wash-Pack'!G18</f>
        <v>633.22080000000005</v>
      </c>
      <c r="D51" s="536"/>
      <c r="E51" s="536"/>
      <c r="F51" s="540"/>
      <c r="G51" s="1030" t="s">
        <v>852</v>
      </c>
      <c r="H51" s="493"/>
      <c r="I51" s="11"/>
    </row>
    <row r="52" spans="2:9" s="454" customFormat="1">
      <c r="B52" s="824" t="s">
        <v>508</v>
      </c>
      <c r="C52" s="60">
        <f>SUM(C50+C51)</f>
        <v>1688.5888</v>
      </c>
      <c r="D52" s="60">
        <f>SUM(D50+D51)</f>
        <v>2.1255781619961658</v>
      </c>
      <c r="E52" s="60">
        <f>SUM(E50+E51)</f>
        <v>11.761363636363635</v>
      </c>
      <c r="F52" s="60">
        <f>SUM(F50+F51)</f>
        <v>0</v>
      </c>
      <c r="G52" s="1005" t="s">
        <v>4</v>
      </c>
      <c r="H52" s="597">
        <f>SUM(C52:F52)</f>
        <v>1702.4757417983599</v>
      </c>
      <c r="I52" s="497"/>
    </row>
    <row r="53" spans="2:9" s="120" customFormat="1" ht="15" customHeight="1">
      <c r="B53" s="593"/>
      <c r="C53" s="133"/>
      <c r="D53" s="133"/>
      <c r="E53" s="133"/>
      <c r="F53" s="133"/>
      <c r="G53" s="924"/>
      <c r="H53" s="265"/>
    </row>
    <row r="54" spans="2:9" s="119" customFormat="1" ht="15" customHeight="1">
      <c r="B54" s="116" t="s">
        <v>662</v>
      </c>
      <c r="C54" s="133"/>
      <c r="D54" s="133"/>
      <c r="E54" s="133"/>
      <c r="F54" s="133"/>
      <c r="G54" s="924"/>
      <c r="H54" s="265"/>
    </row>
    <row r="55" spans="2:9">
      <c r="B55" s="921" t="s">
        <v>663</v>
      </c>
      <c r="C55" s="534"/>
      <c r="D55" s="537"/>
      <c r="E55" s="537"/>
      <c r="F55" s="539"/>
      <c r="G55" s="502"/>
      <c r="H55" s="502"/>
      <c r="I55" s="11"/>
    </row>
    <row r="56" spans="2:9">
      <c r="B56" s="132" t="s">
        <v>42</v>
      </c>
      <c r="C56" s="512">
        <f>'BW2-Field Act. Labor &amp; Mach.'!$I$62</f>
        <v>10.55368</v>
      </c>
      <c r="D56" s="520">
        <f>'BW2-Field Act. Labor &amp; Mach.'!K62</f>
        <v>8.1859214566429603</v>
      </c>
      <c r="E56" s="520">
        <f>'BW2-Field Act. Labor &amp; Mach.'!L62</f>
        <v>7.508305016148265</v>
      </c>
      <c r="F56" s="526"/>
      <c r="G56" s="471"/>
      <c r="H56" s="471"/>
      <c r="I56" s="11"/>
    </row>
    <row r="57" spans="2:9">
      <c r="B57" s="132" t="s">
        <v>149</v>
      </c>
      <c r="C57" s="512">
        <f>'BW2-Field Act. Labor &amp; Mach.'!$I$63</f>
        <v>7.91526</v>
      </c>
      <c r="D57" s="520">
        <f>'BW2-Field Act. Labor &amp; Mach.'!K63</f>
        <v>6.9413678434651436</v>
      </c>
      <c r="E57" s="520">
        <f>'BW2-Field Act. Labor &amp; Mach.'!L63</f>
        <v>14.062451996276074</v>
      </c>
      <c r="F57" s="526"/>
      <c r="G57" s="471"/>
      <c r="H57" s="471"/>
      <c r="I57" s="11"/>
    </row>
    <row r="58" spans="2:9">
      <c r="B58" s="132" t="s">
        <v>158</v>
      </c>
      <c r="C58" s="512">
        <f>'BW2-Field Act. Labor &amp; Mach.'!$I$64</f>
        <v>26.3842</v>
      </c>
      <c r="D58" s="520">
        <f>'BW2-Field Act. Labor &amp; Mach.'!K64</f>
        <v>4.5434266879999994</v>
      </c>
      <c r="E58" s="520">
        <f>'BW2-Field Act. Labor &amp; Mach.'!L64</f>
        <v>3.8571108546602404</v>
      </c>
      <c r="F58" s="526"/>
      <c r="G58" s="471"/>
      <c r="H58" s="471"/>
      <c r="I58" s="11"/>
    </row>
    <row r="59" spans="2:9">
      <c r="B59" s="132" t="s">
        <v>43</v>
      </c>
      <c r="C59" s="512">
        <f>'BW2-Field Act. Labor &amp; Mach.'!$I$66</f>
        <v>5.27684</v>
      </c>
      <c r="D59" s="520">
        <f>'BW2-Field Act. Labor &amp; Mach.'!K66</f>
        <v>4.7393418269465482</v>
      </c>
      <c r="E59" s="520">
        <f>'BW2-Field Act. Labor &amp; Mach.'!L66</f>
        <v>4.8215303303156709</v>
      </c>
      <c r="F59" s="526"/>
      <c r="G59" s="471"/>
      <c r="H59" s="471"/>
      <c r="I59" s="11"/>
    </row>
    <row r="60" spans="2:9">
      <c r="B60" s="132" t="s">
        <v>44</v>
      </c>
      <c r="C60" s="512">
        <f>'BW2-Field Act. Labor &amp; Mach.'!$I$67</f>
        <v>5.27684</v>
      </c>
      <c r="D60" s="520">
        <f>'BW2-Field Act. Labor &amp; Mach.'!K67</f>
        <v>4.5754035882945541</v>
      </c>
      <c r="E60" s="520">
        <f>'BW2-Field Act. Labor &amp; Mach.'!L67</f>
        <v>8.7882358546602415</v>
      </c>
      <c r="F60" s="526"/>
      <c r="G60" s="471"/>
      <c r="H60" s="471"/>
      <c r="I60" s="11"/>
    </row>
    <row r="61" spans="2:9">
      <c r="B61" s="132" t="s">
        <v>45</v>
      </c>
      <c r="C61" s="512">
        <f>'BW2-Field Act. Labor &amp; Mach.'!$I$69</f>
        <v>14.511310000000002</v>
      </c>
      <c r="D61" s="520">
        <f>'BW2-Field Act. Labor &amp; Mach.'!K69</f>
        <v>5.9046727740142977</v>
      </c>
      <c r="E61" s="520">
        <f>'BW2-Field Act. Labor &amp; Mach.'!L69</f>
        <v>8.041581086300118</v>
      </c>
      <c r="F61" s="526"/>
      <c r="G61" s="471"/>
      <c r="H61" s="471"/>
      <c r="I61" s="11"/>
    </row>
    <row r="62" spans="2:9">
      <c r="B62" s="500" t="str">
        <f>'BW3-Variable Input'!$B$33</f>
        <v>Winter cover crop seed</v>
      </c>
      <c r="C62" s="513"/>
      <c r="D62" s="521"/>
      <c r="E62" s="521"/>
      <c r="F62" s="527">
        <f>'BW3-Variable Input'!$C$33</f>
        <v>31.793452380952385</v>
      </c>
      <c r="G62" s="484"/>
      <c r="H62" s="484"/>
      <c r="I62" s="11"/>
    </row>
    <row r="63" spans="2:9" s="454" customFormat="1">
      <c r="B63" s="824" t="s">
        <v>508</v>
      </c>
      <c r="C63" s="60">
        <f>SUM(C56:C62)</f>
        <v>69.918129999999991</v>
      </c>
      <c r="D63" s="60">
        <f>SUM(D56:D62)</f>
        <v>34.890134177363507</v>
      </c>
      <c r="E63" s="60">
        <f>SUM(E56:E62)</f>
        <v>47.07921513836061</v>
      </c>
      <c r="F63" s="60">
        <f>SUM(F56:F62)</f>
        <v>31.793452380952385</v>
      </c>
      <c r="G63" s="596" t="s">
        <v>4</v>
      </c>
      <c r="H63" s="597">
        <f>SUM(C63:F63)</f>
        <v>183.68093169667648</v>
      </c>
      <c r="I63" s="497"/>
    </row>
    <row r="64" spans="2:9" s="81" customFormat="1">
      <c r="B64" s="593"/>
      <c r="C64" s="133"/>
      <c r="D64" s="133"/>
      <c r="E64" s="133"/>
      <c r="F64" s="133"/>
      <c r="G64" s="463"/>
      <c r="H64" s="471"/>
    </row>
    <row r="65" spans="2:9" s="454" customFormat="1">
      <c r="B65" s="116" t="s">
        <v>515</v>
      </c>
      <c r="C65" s="60">
        <f>C46+C52+C63</f>
        <v>3522.7208595850143</v>
      </c>
      <c r="D65" s="60">
        <f>D46+D52+D63</f>
        <v>469.57957609089146</v>
      </c>
      <c r="E65" s="60">
        <f>E46+E52+E63</f>
        <v>743.28463514233863</v>
      </c>
      <c r="F65" s="60">
        <f>F46+F52+F63</f>
        <v>1844.9230444119128</v>
      </c>
      <c r="G65" s="596" t="s">
        <v>4</v>
      </c>
      <c r="H65" s="597">
        <f>SUM(C65:F65)</f>
        <v>6580.5081152301573</v>
      </c>
      <c r="I65" s="497"/>
    </row>
    <row r="66" spans="2:9">
      <c r="B66" s="114"/>
      <c r="C66" s="86"/>
      <c r="D66" s="86"/>
      <c r="E66" s="86"/>
      <c r="F66" s="86"/>
      <c r="G66" s="471"/>
      <c r="H66" s="471"/>
      <c r="I66" s="11"/>
    </row>
    <row r="67" spans="2:9" s="108" customFormat="1">
      <c r="B67" s="1032"/>
      <c r="C67" s="1033"/>
      <c r="D67" s="1033"/>
      <c r="E67" s="1033"/>
      <c r="F67" s="1033"/>
      <c r="G67" s="1033"/>
      <c r="H67" s="1033"/>
    </row>
    <row r="68" spans="2:9">
      <c r="B68" s="135"/>
      <c r="C68" s="135"/>
      <c r="D68" s="135"/>
      <c r="E68" s="135"/>
      <c r="F68" s="135"/>
      <c r="G68" s="135"/>
      <c r="H68" s="135"/>
    </row>
    <row r="69" spans="2:9">
      <c r="B69" s="116" t="s">
        <v>664</v>
      </c>
      <c r="C69" s="135"/>
      <c r="D69" s="135"/>
      <c r="E69" s="135"/>
      <c r="F69" s="135"/>
      <c r="G69" s="135"/>
      <c r="H69" s="135"/>
    </row>
    <row r="70" spans="2:9">
      <c r="B70" s="985" t="s">
        <v>668</v>
      </c>
      <c r="C70" s="135"/>
      <c r="D70" s="135"/>
      <c r="E70" s="135"/>
      <c r="F70" s="135"/>
      <c r="G70" s="135"/>
      <c r="H70" s="989">
        <f>C46+C63</f>
        <v>1834.1320595850143</v>
      </c>
    </row>
    <row r="71" spans="2:9">
      <c r="B71" s="135" t="s">
        <v>667</v>
      </c>
      <c r="C71" s="135"/>
      <c r="D71" s="135"/>
      <c r="E71" s="135"/>
      <c r="F71" s="135"/>
      <c r="G71" s="135"/>
      <c r="H71" s="989">
        <f>D46+D63</f>
        <v>467.45399792889532</v>
      </c>
    </row>
    <row r="72" spans="2:9">
      <c r="B72" s="985" t="s">
        <v>669</v>
      </c>
      <c r="C72" s="472"/>
      <c r="D72" s="86"/>
      <c r="E72" s="60"/>
      <c r="F72" s="464"/>
      <c r="G72" s="473"/>
      <c r="H72" s="471">
        <f>F46+F63</f>
        <v>1844.9230444119128</v>
      </c>
    </row>
    <row r="73" spans="2:9">
      <c r="B73" s="831" t="s">
        <v>666</v>
      </c>
      <c r="C73" s="472"/>
      <c r="D73" s="472"/>
      <c r="E73" s="598"/>
      <c r="F73" s="464"/>
      <c r="G73" s="473"/>
      <c r="H73" s="620">
        <f>SUM(H70:H72)</f>
        <v>4146.5091019258225</v>
      </c>
    </row>
    <row r="74" spans="2:9">
      <c r="B74" s="985" t="s">
        <v>680</v>
      </c>
      <c r="C74" s="472"/>
      <c r="D74" s="472"/>
      <c r="E74" s="472"/>
      <c r="F74" s="10"/>
      <c r="G74" s="473"/>
      <c r="H74" s="471">
        <f>C52</f>
        <v>1688.5888</v>
      </c>
    </row>
    <row r="75" spans="2:9">
      <c r="B75" s="985" t="s">
        <v>445</v>
      </c>
      <c r="C75" s="472"/>
      <c r="D75" s="472"/>
      <c r="E75" s="472"/>
      <c r="F75" s="10"/>
      <c r="G75" s="473"/>
      <c r="H75" s="471">
        <f>D52</f>
        <v>2.1255781619961658</v>
      </c>
    </row>
    <row r="76" spans="2:9">
      <c r="B76" s="985" t="s">
        <v>670</v>
      </c>
      <c r="C76" s="472"/>
      <c r="D76" s="60"/>
      <c r="E76" s="472"/>
      <c r="F76" s="10"/>
      <c r="G76" s="132"/>
      <c r="H76" s="471">
        <f>F52</f>
        <v>0</v>
      </c>
    </row>
    <row r="77" spans="2:9">
      <c r="B77" s="831" t="s">
        <v>671</v>
      </c>
      <c r="C77" s="43"/>
      <c r="D77" s="43"/>
      <c r="E77" s="832"/>
      <c r="F77" s="43"/>
      <c r="G77" s="43"/>
      <c r="H77" s="598">
        <f>SUM(H74:H76)</f>
        <v>1690.7143781619961</v>
      </c>
    </row>
    <row r="78" spans="2:9">
      <c r="B78" s="833" t="s">
        <v>513</v>
      </c>
      <c r="C78" s="919"/>
      <c r="D78" s="919"/>
      <c r="E78" s="987"/>
      <c r="F78" s="988"/>
      <c r="G78" s="919"/>
      <c r="H78" s="818">
        <f>H73+H77</f>
        <v>5837.2234800878186</v>
      </c>
    </row>
    <row r="79" spans="2:9">
      <c r="B79" s="985" t="s">
        <v>672</v>
      </c>
      <c r="C79" s="135"/>
      <c r="D79" s="135"/>
      <c r="E79" s="472"/>
      <c r="F79" s="135"/>
      <c r="G79" s="135"/>
      <c r="H79" s="989">
        <f>E46+E63</f>
        <v>731.523271505975</v>
      </c>
    </row>
    <row r="80" spans="2:9">
      <c r="B80" s="985" t="s">
        <v>673</v>
      </c>
      <c r="C80" s="135"/>
      <c r="D80" s="135"/>
      <c r="E80" s="472"/>
      <c r="F80" s="135"/>
      <c r="G80" s="135"/>
      <c r="H80" s="990">
        <f>E50</f>
        <v>11.761363636363635</v>
      </c>
    </row>
    <row r="81" spans="2:8">
      <c r="B81" s="837" t="s">
        <v>514</v>
      </c>
      <c r="C81" s="919"/>
      <c r="D81" s="919"/>
      <c r="E81" s="987"/>
      <c r="F81" s="988"/>
      <c r="G81" s="919"/>
      <c r="H81" s="819">
        <f>H79+H80</f>
        <v>743.28463514233863</v>
      </c>
    </row>
    <row r="82" spans="2:8">
      <c r="B82" s="264"/>
      <c r="C82" s="472"/>
      <c r="D82" s="474"/>
      <c r="E82" s="472"/>
      <c r="F82" s="10"/>
      <c r="G82" s="132"/>
      <c r="H82" s="473"/>
    </row>
    <row r="83" spans="2:8">
      <c r="B83" s="10"/>
      <c r="C83" s="472"/>
      <c r="D83" s="472"/>
      <c r="E83" s="472"/>
      <c r="F83" s="10"/>
      <c r="G83" s="473"/>
      <c r="H83" s="473"/>
    </row>
    <row r="84" spans="2:8">
      <c r="B84" s="10"/>
      <c r="C84" s="10"/>
      <c r="D84" s="10"/>
      <c r="E84" s="10"/>
      <c r="F84" s="10"/>
      <c r="G84" s="473"/>
      <c r="H84" s="473"/>
    </row>
    <row r="85" spans="2:8">
      <c r="B85" s="10"/>
      <c r="C85" s="462"/>
      <c r="D85" s="10"/>
      <c r="E85" s="10"/>
      <c r="F85" s="10"/>
      <c r="G85" s="462"/>
      <c r="H85" s="462"/>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rintOptions horizontalCentered="1"/>
  <pageMargins left="0.25" right="0.25" top="0.5" bottom="0.25" header="0.5" footer="0.5"/>
  <pageSetup scale="58" orientation="portrait" verticalDpi="0"/>
  <extLst>
    <ext xmlns:mx="http://schemas.microsoft.com/office/mac/excel/2008/main" uri="{64002731-A6B0-56B0-2670-7721B7C09600}">
      <mx:PLV Mode="1"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5"/>
  <sheetViews>
    <sheetView showGridLines="0" view="pageLayout" topLeftCell="A32" workbookViewId="0">
      <selection activeCell="B40" sqref="B40"/>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5" t="str">
        <f>'Workbook Index'!B37</f>
        <v>Garlic</v>
      </c>
      <c r="C2" s="221"/>
      <c r="D2" s="221"/>
      <c r="E2" s="221"/>
      <c r="I2" s="109"/>
      <c r="J2" s="109"/>
      <c r="K2" s="109"/>
      <c r="L2" s="109"/>
      <c r="M2" s="109"/>
      <c r="N2" s="109"/>
    </row>
    <row r="3" spans="2:19" ht="33.5" customHeight="1">
      <c r="B3" s="1027" t="s">
        <v>716</v>
      </c>
      <c r="C3" s="132" t="s">
        <v>367</v>
      </c>
      <c r="E3" s="222" t="s">
        <v>14</v>
      </c>
      <c r="F3"/>
      <c r="G3"/>
      <c r="H3"/>
      <c r="I3" s="128"/>
      <c r="J3" s="128"/>
      <c r="K3" s="128"/>
      <c r="L3" s="109"/>
      <c r="M3" s="117"/>
      <c r="N3" s="129"/>
      <c r="O3" s="112"/>
      <c r="P3" s="112"/>
      <c r="Q3" s="112"/>
      <c r="R3" s="112"/>
      <c r="S3" s="112"/>
    </row>
    <row r="4" spans="2:19">
      <c r="B4" s="918"/>
      <c r="C4" s="132" t="s">
        <v>47</v>
      </c>
      <c r="D4" s="916"/>
      <c r="E4" s="1068">
        <f>'BW1-Bed and Row Spacing'!J19</f>
        <v>6222.8571428571422</v>
      </c>
      <c r="F4" s="135"/>
      <c r="G4" s="135"/>
      <c r="H4" s="135"/>
      <c r="I4" s="128"/>
      <c r="J4" s="128"/>
      <c r="K4" s="128"/>
      <c r="L4" s="109"/>
      <c r="M4" s="110"/>
      <c r="N4" s="111"/>
      <c r="O4" s="112"/>
      <c r="P4" s="112"/>
      <c r="Q4" s="112"/>
      <c r="R4" s="112"/>
      <c r="S4" s="112"/>
    </row>
    <row r="5" spans="2:19">
      <c r="B5" s="915"/>
      <c r="C5" s="132" t="s">
        <v>366</v>
      </c>
      <c r="D5" s="916"/>
      <c r="E5" s="1340" t="s">
        <v>823</v>
      </c>
      <c r="F5" s="1340"/>
      <c r="G5" s="1340"/>
      <c r="H5" s="1340"/>
      <c r="I5" s="225"/>
      <c r="J5" s="225"/>
      <c r="K5" s="225"/>
      <c r="L5" s="127"/>
      <c r="M5" s="110"/>
      <c r="N5" s="111"/>
      <c r="O5" s="112"/>
      <c r="P5" s="112"/>
      <c r="Q5" s="112"/>
      <c r="R5" s="112"/>
      <c r="S5" s="112"/>
    </row>
    <row r="6" spans="2:19">
      <c r="B6" s="223"/>
      <c r="C6" s="915"/>
      <c r="D6" s="916"/>
      <c r="E6" s="1340"/>
      <c r="F6" s="1340"/>
      <c r="G6" s="1340"/>
      <c r="H6" s="1340"/>
      <c r="I6" s="225"/>
      <c r="J6" s="225"/>
      <c r="K6" s="225"/>
      <c r="L6" s="112"/>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4" customHeight="1">
      <c r="B11" s="922" t="s">
        <v>181</v>
      </c>
      <c r="C11" s="999"/>
      <c r="D11" s="1000"/>
      <c r="E11" s="1000"/>
      <c r="F11" s="1001"/>
      <c r="G11" s="509"/>
      <c r="H11" s="509"/>
      <c r="I11" s="132"/>
      <c r="J11" s="118"/>
      <c r="K11" s="112"/>
      <c r="L11" s="112"/>
      <c r="M11" s="112"/>
      <c r="N11" s="112"/>
      <c r="O11" s="112"/>
    </row>
    <row r="12" spans="2:19">
      <c r="B12" s="265" t="s">
        <v>145</v>
      </c>
      <c r="C12" s="512">
        <f>'BW2-Field Act. Labor &amp; Mach.'!I9</f>
        <v>9.23447</v>
      </c>
      <c r="D12" s="520">
        <f>'BW2-Field Act. Labor &amp; Mach.'!K9</f>
        <v>7.1626812745625896</v>
      </c>
      <c r="E12" s="520">
        <f>'BW2-Field Act. Labor &amp; Mach.'!L9</f>
        <v>6.5697668891297312</v>
      </c>
      <c r="F12" s="526"/>
      <c r="G12" s="465"/>
      <c r="H12" s="465"/>
      <c r="I12" s="132"/>
      <c r="J12" s="112"/>
      <c r="K12" s="118"/>
      <c r="L12" s="118"/>
      <c r="M12" s="112"/>
      <c r="N12" s="112"/>
      <c r="O12" s="112"/>
    </row>
    <row r="13" spans="2:19">
      <c r="B13" s="132" t="s">
        <v>46</v>
      </c>
      <c r="C13" s="512">
        <f>'BW2-Field Act. Labor &amp; Mach.'!I10</f>
        <v>11.87289</v>
      </c>
      <c r="D13" s="520">
        <f>'BW2-Field Act. Labor &amp; Mach.'!K10</f>
        <v>16.900081383311999</v>
      </c>
      <c r="E13" s="520">
        <f>'BW2-Field Act. Labor &amp; Mach.'!L10</f>
        <v>23.703168100043012</v>
      </c>
      <c r="F13" s="526"/>
      <c r="G13" s="133"/>
      <c r="H13" s="465"/>
      <c r="I13" s="132"/>
      <c r="J13" s="112"/>
      <c r="K13" s="112"/>
      <c r="L13" s="112"/>
      <c r="M13" s="118"/>
      <c r="N13" s="112"/>
      <c r="O13" s="112"/>
    </row>
    <row r="14" spans="2:19">
      <c r="B14" s="151" t="s">
        <v>69</v>
      </c>
      <c r="C14" s="512"/>
      <c r="D14" s="520"/>
      <c r="E14" s="520"/>
      <c r="F14" s="526">
        <f>'BW3-Variable Input'!C9</f>
        <v>116.66666666666667</v>
      </c>
      <c r="G14" s="133"/>
      <c r="H14" s="465"/>
      <c r="I14" s="132"/>
      <c r="J14" s="112"/>
      <c r="K14" s="112"/>
      <c r="L14" s="112"/>
      <c r="M14" s="118"/>
      <c r="N14" s="112"/>
      <c r="O14" s="112"/>
    </row>
    <row r="15" spans="2:19">
      <c r="B15" s="473" t="s">
        <v>11</v>
      </c>
      <c r="C15" s="512">
        <f>'BW2-Field Act. Labor &amp; Mach.'!I13</f>
        <v>22.426569999999998</v>
      </c>
      <c r="D15" s="520">
        <f>'BW2-Field Act. Labor &amp; Mach.'!K13</f>
        <v>17.993866831056</v>
      </c>
      <c r="E15" s="520">
        <f>'BW2-Field Act. Labor &amp; Mach.'!L13</f>
        <v>44.771770188886023</v>
      </c>
      <c r="F15" s="526"/>
      <c r="G15" s="133"/>
      <c r="H15" s="463"/>
      <c r="I15" s="132"/>
      <c r="J15" s="112"/>
      <c r="K15" s="112"/>
      <c r="L15" s="112"/>
      <c r="M15" s="118"/>
      <c r="N15" s="112"/>
      <c r="O15" s="112"/>
    </row>
    <row r="16" spans="2:19">
      <c r="B16" s="132" t="s">
        <v>43</v>
      </c>
      <c r="C16" s="512">
        <f>'BW2-Field Act. Labor &amp; Mach.'!I11*2</f>
        <v>10.55368</v>
      </c>
      <c r="D16" s="520">
        <f>'BW2-Field Act. Labor &amp; Mach.'!K11*2</f>
        <v>9.4786836538930963</v>
      </c>
      <c r="E16" s="520">
        <f>'BW2-Field Act. Labor &amp; Mach.'!L11*2</f>
        <v>9.6430606606313418</v>
      </c>
      <c r="F16" s="526"/>
      <c r="G16" s="133"/>
      <c r="H16" s="465"/>
      <c r="I16" s="132"/>
      <c r="J16" s="112"/>
      <c r="K16" s="112"/>
      <c r="L16" s="112"/>
      <c r="M16" s="118"/>
      <c r="N16" s="112"/>
      <c r="O16" s="112"/>
    </row>
    <row r="17" spans="2:15">
      <c r="B17" s="132" t="s">
        <v>13</v>
      </c>
      <c r="C17" s="512">
        <f>'BW2-Field Act. Labor &amp; Mach.'!I17</f>
        <v>72.556550000000001</v>
      </c>
      <c r="D17" s="520">
        <f>'BW2-Field Act. Labor &amp; Mach.'!K17</f>
        <v>18.413226025968029</v>
      </c>
      <c r="E17" s="520">
        <f>'BW2-Field Act. Labor &amp; Mach.'!L17</f>
        <v>38.951406687324337</v>
      </c>
      <c r="F17" s="526"/>
      <c r="G17" s="133"/>
      <c r="H17" s="463"/>
      <c r="I17" s="132"/>
      <c r="J17" s="112"/>
      <c r="K17" s="112"/>
      <c r="L17" s="112"/>
      <c r="M17" s="112"/>
      <c r="N17" s="112"/>
      <c r="O17" s="112"/>
    </row>
    <row r="18" spans="2:15">
      <c r="B18" s="151" t="str">
        <f>'BW3-Variable Input'!B19</f>
        <v>Plastic mulch for 84" bed spacing</v>
      </c>
      <c r="C18" s="512"/>
      <c r="D18" s="520"/>
      <c r="E18" s="520"/>
      <c r="F18" s="526">
        <f>'BW3-Variable Input'!C19</f>
        <v>77.785714285714278</v>
      </c>
      <c r="G18" s="133"/>
      <c r="H18" s="463"/>
      <c r="I18" s="132"/>
      <c r="J18" s="118"/>
      <c r="K18" s="118"/>
      <c r="L18" s="118"/>
      <c r="M18" s="112"/>
      <c r="N18" s="112"/>
      <c r="O18" s="112"/>
    </row>
    <row r="19" spans="2:15">
      <c r="B19" s="151" t="s">
        <v>313</v>
      </c>
      <c r="C19" s="512"/>
      <c r="D19" s="520"/>
      <c r="E19" s="520"/>
      <c r="F19" s="526">
        <f>'BW3-Variable Input'!C21</f>
        <v>33.880000000000003</v>
      </c>
      <c r="G19" s="133"/>
      <c r="H19" s="463"/>
      <c r="I19" s="132"/>
      <c r="J19" s="112"/>
      <c r="K19" s="112"/>
      <c r="L19" s="112"/>
      <c r="M19" s="112"/>
      <c r="N19" s="112"/>
      <c r="O19" s="112"/>
    </row>
    <row r="20" spans="2:15">
      <c r="B20" s="418" t="s">
        <v>315</v>
      </c>
      <c r="C20" s="513"/>
      <c r="D20" s="521"/>
      <c r="E20" s="521"/>
      <c r="F20" s="527">
        <f>'BW3-Variable Input'!C11</f>
        <v>186</v>
      </c>
      <c r="G20" s="486"/>
      <c r="H20" s="485"/>
      <c r="I20" s="132"/>
      <c r="J20" s="112"/>
      <c r="K20" s="112"/>
      <c r="L20" s="112"/>
      <c r="M20" s="112"/>
      <c r="N20" s="112"/>
      <c r="O20" s="112"/>
    </row>
    <row r="21" spans="2:15" s="119" customFormat="1">
      <c r="B21" s="132"/>
      <c r="C21" s="133"/>
      <c r="D21" s="133"/>
      <c r="E21" s="133"/>
      <c r="F21" s="133"/>
      <c r="G21" s="133"/>
      <c r="H21" s="466"/>
      <c r="I21" s="132"/>
      <c r="J21" s="121"/>
      <c r="K21" s="121"/>
      <c r="L21" s="121"/>
      <c r="M21" s="121"/>
      <c r="N21" s="121"/>
      <c r="O21" s="121"/>
    </row>
    <row r="22" spans="2:15">
      <c r="B22" s="921" t="s">
        <v>10</v>
      </c>
      <c r="C22" s="515"/>
      <c r="D22" s="438"/>
      <c r="E22" s="438"/>
      <c r="F22" s="529"/>
      <c r="G22" s="422"/>
      <c r="H22" s="494"/>
      <c r="I22" s="132"/>
      <c r="J22" s="112"/>
      <c r="K22" s="112"/>
      <c r="L22" s="112"/>
      <c r="M22" s="112"/>
      <c r="N22" s="112"/>
      <c r="O22" s="112"/>
    </row>
    <row r="23" spans="2:15">
      <c r="B23" s="132" t="s">
        <v>322</v>
      </c>
      <c r="C23" s="512">
        <f>'BW2-Field Act. Labor &amp; Mach.'!I23</f>
        <v>290.22620000000001</v>
      </c>
      <c r="D23" s="520">
        <f>'BW2-Field Act. Labor &amp; Mach.'!K23</f>
        <v>4.8402848584571325</v>
      </c>
      <c r="E23" s="520">
        <f>'BW2-Field Act. Labor &amp; Mach.'!L23</f>
        <v>5.5345394260888119</v>
      </c>
      <c r="F23" s="526"/>
      <c r="G23" s="133"/>
      <c r="H23" s="465"/>
      <c r="I23" s="132"/>
      <c r="J23" s="118"/>
      <c r="K23" s="112"/>
      <c r="L23" s="112"/>
      <c r="M23" s="112"/>
      <c r="N23" s="112"/>
      <c r="O23" s="112"/>
    </row>
    <row r="24" spans="2:15">
      <c r="B24" s="151" t="s">
        <v>65</v>
      </c>
      <c r="C24" s="512"/>
      <c r="D24" s="520"/>
      <c r="E24" s="520"/>
      <c r="F24" s="526">
        <f>'BW3-Variable Input'!H166</f>
        <v>1333.5</v>
      </c>
      <c r="G24" s="133"/>
      <c r="H24" s="465"/>
      <c r="I24" s="132"/>
      <c r="J24" s="118"/>
      <c r="K24" s="112"/>
      <c r="L24" s="112"/>
      <c r="M24" s="112"/>
      <c r="N24" s="112"/>
      <c r="O24" s="112"/>
    </row>
    <row r="25" spans="2:15">
      <c r="B25" s="10" t="s">
        <v>140</v>
      </c>
      <c r="C25" s="532">
        <f>'BW2-Field Act. Labor &amp; Mach.'!I25</f>
        <v>26.3842</v>
      </c>
      <c r="D25" s="535">
        <f>'BW2-Field Act. Labor &amp; Mach.'!K25</f>
        <v>1.5835499999999998</v>
      </c>
      <c r="E25" s="535">
        <f>'BW2-Field Act. Labor &amp; Mach.'!L25</f>
        <v>5.5640243902439019</v>
      </c>
      <c r="F25" s="538"/>
      <c r="G25" s="133"/>
      <c r="H25" s="463"/>
      <c r="I25" s="132"/>
      <c r="J25" s="112"/>
      <c r="K25" s="112"/>
      <c r="L25" s="112"/>
      <c r="M25" s="112"/>
      <c r="N25" s="112"/>
      <c r="O25" s="112"/>
    </row>
    <row r="26" spans="2:15">
      <c r="B26" s="490" t="str">
        <f>'BW3-Variable Input'!B35</f>
        <v>Living mulch seed</v>
      </c>
      <c r="C26" s="533"/>
      <c r="D26" s="536"/>
      <c r="E26" s="536"/>
      <c r="F26" s="540">
        <f>'BW3-Variable Input'!C35</f>
        <v>79.866666666666674</v>
      </c>
      <c r="G26" s="486"/>
      <c r="H26" s="485"/>
      <c r="I26" s="132"/>
      <c r="J26" s="112"/>
      <c r="K26" s="112"/>
      <c r="L26" s="112"/>
      <c r="M26" s="112"/>
      <c r="N26" s="112"/>
      <c r="O26" s="112"/>
    </row>
    <row r="27" spans="2:15">
      <c r="B27" s="132"/>
      <c r="C27" s="133"/>
      <c r="D27" s="133"/>
      <c r="E27" s="133"/>
      <c r="F27" s="133"/>
      <c r="G27" s="133"/>
      <c r="H27" s="466"/>
      <c r="I27" s="132"/>
      <c r="J27" s="112"/>
      <c r="K27" s="112"/>
      <c r="L27" s="112"/>
      <c r="M27" s="112"/>
      <c r="N27" s="112"/>
      <c r="O27" s="112"/>
    </row>
    <row r="28" spans="2:15">
      <c r="B28" s="921" t="s">
        <v>37</v>
      </c>
      <c r="C28" s="515"/>
      <c r="D28" s="438"/>
      <c r="E28" s="438"/>
      <c r="F28" s="529"/>
      <c r="G28" s="422"/>
      <c r="H28" s="422"/>
      <c r="I28" s="132"/>
      <c r="J28" s="112"/>
      <c r="K28" s="118"/>
      <c r="L28" s="112"/>
      <c r="M28" s="112"/>
      <c r="N28" s="112"/>
      <c r="O28" s="112"/>
    </row>
    <row r="29" spans="2:15">
      <c r="B29" s="462" t="s">
        <v>179</v>
      </c>
      <c r="C29" s="512">
        <f>'BW2-Field Act. Labor &amp; Mach.'!$I$31*2</f>
        <v>10.55368</v>
      </c>
      <c r="D29" s="520">
        <f>'BW2-Field Act. Labor &amp; Mach.'!K31*2</f>
        <v>1.6570295666513035</v>
      </c>
      <c r="E29" s="520">
        <f>'BW2-Field Act. Labor &amp; Mach.'!L31*2</f>
        <v>27.363002680965153</v>
      </c>
      <c r="F29" s="526"/>
      <c r="G29" s="133"/>
      <c r="H29" s="463"/>
      <c r="I29" s="115"/>
      <c r="J29" s="118"/>
      <c r="K29" s="118"/>
      <c r="L29" s="118"/>
      <c r="M29" s="112"/>
      <c r="N29" s="112"/>
      <c r="O29" s="112"/>
    </row>
    <row r="30" spans="2:15">
      <c r="B30" s="151" t="str">
        <f>'BW5-Irrigation'!$B$8</f>
        <v>Irrigation supply cost</v>
      </c>
      <c r="C30" s="512"/>
      <c r="D30" s="520"/>
      <c r="E30" s="520"/>
      <c r="F30" s="526">
        <f>'BW5-Irrigation'!$E$8</f>
        <v>32.773534158149545</v>
      </c>
      <c r="G30" s="1029" t="s">
        <v>851</v>
      </c>
      <c r="H30" s="463"/>
      <c r="I30" s="115"/>
      <c r="J30" s="112"/>
      <c r="K30" s="118"/>
      <c r="L30" s="112"/>
      <c r="M30" s="112"/>
      <c r="N30" s="112"/>
      <c r="O30" s="112"/>
    </row>
    <row r="31" spans="2:15">
      <c r="B31" s="132" t="str">
        <f>'BW5-Irrigation'!$B$9</f>
        <v>Irrigation set-up labor cost</v>
      </c>
      <c r="C31" s="512">
        <f>'BW5-Irrigation'!$E$9</f>
        <v>50.735370890410955</v>
      </c>
      <c r="D31" s="520"/>
      <c r="E31" s="520"/>
      <c r="F31" s="526"/>
      <c r="G31" s="1029" t="s">
        <v>851</v>
      </c>
      <c r="H31" s="463"/>
      <c r="I31" s="115"/>
      <c r="J31" s="112"/>
      <c r="K31" s="118"/>
      <c r="L31" s="112"/>
      <c r="M31" s="112"/>
      <c r="N31" s="112"/>
      <c r="O31" s="112"/>
    </row>
    <row r="32" spans="2:15">
      <c r="B32" s="132" t="s">
        <v>294</v>
      </c>
      <c r="C32" s="512">
        <f>'BW2-Field Act. Labor &amp; Mach.'!I39*'BW5-Irrigation'!C24</f>
        <v>158.30520000000001</v>
      </c>
      <c r="D32" s="520"/>
      <c r="E32" s="520"/>
      <c r="F32" s="526"/>
      <c r="G32" s="133"/>
      <c r="H32" s="133"/>
      <c r="I32" s="132"/>
      <c r="J32" s="112"/>
      <c r="K32" s="118"/>
      <c r="L32" s="112"/>
      <c r="M32" s="112"/>
      <c r="N32" s="112"/>
      <c r="O32" s="112"/>
    </row>
    <row r="33" spans="1:19">
      <c r="B33" s="132" t="s">
        <v>347</v>
      </c>
      <c r="C33" s="512">
        <f>'BW2-Field Act. Labor &amp; Mach.'!$I$30*2</f>
        <v>15.83052</v>
      </c>
      <c r="D33" s="520">
        <f>'BW2-Field Act. Labor &amp; Mach.'!K30*2</f>
        <v>3.8005199999999992</v>
      </c>
      <c r="E33" s="520">
        <f>'BW2-Field Act. Labor &amp; Mach.'!L30*2</f>
        <v>13.353658536585364</v>
      </c>
      <c r="F33" s="526"/>
      <c r="G33" s="133"/>
      <c r="H33" s="463"/>
      <c r="I33" s="115"/>
      <c r="J33" s="112"/>
      <c r="K33" s="118"/>
      <c r="L33" s="112"/>
      <c r="M33" s="112"/>
      <c r="N33" s="112"/>
      <c r="O33" s="112"/>
    </row>
    <row r="34" spans="1:19">
      <c r="B34" s="265" t="s">
        <v>344</v>
      </c>
      <c r="C34" s="512">
        <f>'BW2-Field Act. Labor &amp; Mach.'!$I$35*2</f>
        <v>131.92099999999999</v>
      </c>
      <c r="D34" s="520"/>
      <c r="E34" s="520"/>
      <c r="F34" s="526"/>
      <c r="G34" s="133"/>
      <c r="H34" s="463"/>
      <c r="I34" s="115"/>
      <c r="J34" s="112"/>
      <c r="K34" s="118"/>
      <c r="L34" s="112"/>
      <c r="M34" s="112"/>
      <c r="N34" s="112"/>
      <c r="O34" s="112"/>
    </row>
    <row r="35" spans="1:19">
      <c r="B35" s="132" t="s">
        <v>326</v>
      </c>
      <c r="C35" s="512">
        <f>'BW2-Field Act. Labor &amp; Mach.'!I37*3</f>
        <v>39.576300000000003</v>
      </c>
      <c r="D35" s="520">
        <f>'BW2-Field Act. Labor &amp; Mach.'!K37*3</f>
        <v>30.546664935780097</v>
      </c>
      <c r="E35" s="520">
        <f>'BW2-Field Act. Labor &amp; Mach.'!L37*3</f>
        <v>39.314799296778247</v>
      </c>
      <c r="F35" s="526"/>
      <c r="G35" s="133"/>
      <c r="H35" s="463"/>
      <c r="I35" s="132"/>
      <c r="J35" s="112"/>
      <c r="K35" s="118"/>
      <c r="L35" s="112"/>
      <c r="M35" s="112"/>
      <c r="N35" s="112"/>
      <c r="O35" s="112"/>
    </row>
    <row r="36" spans="1:19">
      <c r="B36" s="414" t="s">
        <v>501</v>
      </c>
      <c r="C36" s="512"/>
      <c r="D36" s="520"/>
      <c r="E36" s="520"/>
      <c r="F36" s="526">
        <f>'BW3-Variable Input'!C58</f>
        <v>25.750775510204083</v>
      </c>
      <c r="G36" s="133"/>
      <c r="H36" s="463"/>
      <c r="I36" s="132"/>
      <c r="J36" s="112"/>
      <c r="K36" s="112"/>
      <c r="L36" s="113"/>
      <c r="M36" s="113"/>
      <c r="N36" s="113"/>
      <c r="O36" s="113"/>
      <c r="P36" s="109"/>
    </row>
    <row r="37" spans="1:19">
      <c r="B37" s="416" t="s">
        <v>159</v>
      </c>
      <c r="C37" s="513">
        <f>'BW2-Field Act. Labor &amp; Mach.'!I33*3</f>
        <v>31.66104</v>
      </c>
      <c r="D37" s="521">
        <f>'BW2-Field Act. Labor &amp; Mach.'!K33*3</f>
        <v>14.904</v>
      </c>
      <c r="E37" s="521">
        <f>'BW2-Field Act. Labor &amp; Mach.'!L33*3</f>
        <v>66.625647668393796</v>
      </c>
      <c r="F37" s="527"/>
      <c r="G37" s="489"/>
      <c r="H37" s="541"/>
      <c r="I37" s="479"/>
      <c r="J37" s="228"/>
      <c r="K37"/>
      <c r="L37"/>
      <c r="M37"/>
      <c r="N37"/>
      <c r="O37"/>
      <c r="P37"/>
      <c r="Q37"/>
      <c r="R37"/>
      <c r="S37"/>
    </row>
    <row r="38" spans="1:19" s="453" customFormat="1">
      <c r="B38" s="824" t="s">
        <v>508</v>
      </c>
      <c r="C38" s="444">
        <f>SUM(C12:C20, C23:C26,C29:C37)</f>
        <v>881.83767089041089</v>
      </c>
      <c r="D38" s="444">
        <f>SUM(D12:D20, D23:D26,D29:D37)</f>
        <v>127.28058852968026</v>
      </c>
      <c r="E38" s="444">
        <f>SUM(E12:E20, E23:E26,E29:E37)</f>
        <v>281.39484452506974</v>
      </c>
      <c r="F38" s="444">
        <f>SUM(F12:F20, F23:F26,F29:F37)</f>
        <v>1886.2233572874011</v>
      </c>
      <c r="G38" s="445" t="s">
        <v>4</v>
      </c>
      <c r="H38" s="446">
        <f>SUM(C38:F38)</f>
        <v>3176.7364612325619</v>
      </c>
      <c r="I38" s="117"/>
      <c r="J38" s="476"/>
      <c r="K38" s="476"/>
      <c r="L38" s="477"/>
      <c r="M38" s="477"/>
      <c r="N38" s="477"/>
      <c r="O38" s="477"/>
      <c r="P38" s="475"/>
    </row>
    <row r="39" spans="1:19" s="120" customFormat="1" ht="15" customHeight="1">
      <c r="B39" s="593"/>
      <c r="C39" s="133"/>
      <c r="D39" s="133"/>
      <c r="E39" s="133"/>
      <c r="F39" s="133"/>
      <c r="G39" s="924"/>
      <c r="H39" s="265"/>
    </row>
    <row r="40" spans="1:19" s="119" customFormat="1" ht="15" customHeight="1">
      <c r="B40" s="116" t="s">
        <v>914</v>
      </c>
      <c r="C40" s="133"/>
      <c r="D40" s="133"/>
      <c r="E40" s="133"/>
      <c r="F40" s="133"/>
      <c r="G40" s="924"/>
      <c r="H40" s="265"/>
      <c r="I40" s="120"/>
    </row>
    <row r="41" spans="1:19">
      <c r="B41" s="921" t="s">
        <v>3</v>
      </c>
      <c r="C41" s="514"/>
      <c r="D41" s="522"/>
      <c r="E41" s="522"/>
      <c r="F41" s="528"/>
      <c r="G41" s="983"/>
      <c r="H41" s="491"/>
      <c r="I41" s="265"/>
      <c r="J41" s="112"/>
      <c r="K41" s="112"/>
      <c r="L41" s="113"/>
      <c r="M41" s="113"/>
      <c r="N41" s="113"/>
      <c r="O41" s="113"/>
      <c r="P41" s="109"/>
    </row>
    <row r="42" spans="1:19">
      <c r="B42" s="132" t="s">
        <v>182</v>
      </c>
      <c r="C42" s="512">
        <f>'BW6-Harvest and Wash-Pack'!D19</f>
        <v>416.96458928571428</v>
      </c>
      <c r="D42" s="520">
        <f>'BW2-Field Act. Labor &amp; Mach.'!K57+'BW2-Field Act. Labor &amp; Mach.'!K54</f>
        <v>8.8095584394561897</v>
      </c>
      <c r="E42" s="520">
        <f>'BW2-Field Act. Labor &amp; Mach.'!L57+'BW2-Field Act. Labor &amp; Mach.'!L54</f>
        <v>18.313150222617821</v>
      </c>
      <c r="F42" s="526"/>
      <c r="G42" s="1029" t="s">
        <v>852</v>
      </c>
      <c r="H42" s="265"/>
      <c r="I42" s="265"/>
      <c r="J42" s="118"/>
      <c r="K42" s="112"/>
      <c r="L42" s="113"/>
      <c r="M42" s="113"/>
      <c r="N42" s="113"/>
      <c r="O42" s="113"/>
      <c r="P42" s="109"/>
    </row>
    <row r="43" spans="1:19">
      <c r="B43" s="416" t="s">
        <v>361</v>
      </c>
      <c r="C43" s="513">
        <f>'BW6-Harvest and Wash-Pack'!F19</f>
        <v>1055.3679999999999</v>
      </c>
      <c r="D43" s="521"/>
      <c r="E43" s="521"/>
      <c r="F43" s="527"/>
      <c r="G43" s="1030" t="s">
        <v>852</v>
      </c>
      <c r="H43" s="485"/>
      <c r="I43" s="115"/>
      <c r="J43" s="118"/>
      <c r="K43" s="112"/>
      <c r="L43" s="113"/>
      <c r="M43" s="113"/>
      <c r="N43" s="113"/>
      <c r="O43" s="113"/>
      <c r="P43" s="109"/>
    </row>
    <row r="44" spans="1:19" s="453" customFormat="1">
      <c r="B44" s="824" t="s">
        <v>508</v>
      </c>
      <c r="C44" s="444">
        <f>SUM(C42:C43)</f>
        <v>1472.3325892857142</v>
      </c>
      <c r="D44" s="444">
        <f>SUM(D42:D43)</f>
        <v>8.8095584394561897</v>
      </c>
      <c r="E44" s="444">
        <f>SUM(E42:E43)</f>
        <v>18.313150222617821</v>
      </c>
      <c r="F44" s="444">
        <f>SUM(F42:F43)</f>
        <v>0</v>
      </c>
      <c r="G44" s="445" t="s">
        <v>4</v>
      </c>
      <c r="H44" s="446">
        <f>SUM(C44:F44)</f>
        <v>1499.4552979477883</v>
      </c>
      <c r="I44" s="117"/>
      <c r="J44" s="476"/>
      <c r="K44" s="476"/>
      <c r="L44" s="477"/>
      <c r="M44" s="477"/>
      <c r="N44" s="477"/>
      <c r="O44" s="477"/>
      <c r="P44" s="475"/>
    </row>
    <row r="45" spans="1:19" s="120" customFormat="1" ht="15" customHeight="1">
      <c r="B45" s="593"/>
      <c r="C45" s="133"/>
      <c r="D45" s="133"/>
      <c r="E45" s="133"/>
      <c r="F45" s="133"/>
      <c r="G45" s="924"/>
      <c r="H45" s="265"/>
    </row>
    <row r="46" spans="1:19" s="119" customFormat="1" ht="15" customHeight="1">
      <c r="B46" s="116" t="s">
        <v>662</v>
      </c>
      <c r="C46" s="133"/>
      <c r="D46" s="133"/>
      <c r="E46" s="133"/>
      <c r="F46" s="133"/>
      <c r="G46" s="924"/>
      <c r="H46" s="265"/>
    </row>
    <row r="47" spans="1:19">
      <c r="B47" s="921" t="s">
        <v>663</v>
      </c>
      <c r="C47" s="515"/>
      <c r="D47" s="438"/>
      <c r="E47" s="438"/>
      <c r="F47" s="529"/>
      <c r="G47" s="494"/>
      <c r="H47" s="494"/>
      <c r="I47" s="132"/>
      <c r="J47" s="118"/>
      <c r="K47" s="112"/>
      <c r="L47" s="113"/>
      <c r="M47" s="113"/>
      <c r="N47" s="113"/>
      <c r="O47" s="113"/>
      <c r="P47" s="109"/>
    </row>
    <row r="48" spans="1:19">
      <c r="A48" s="116"/>
      <c r="B48" s="132" t="s">
        <v>158</v>
      </c>
      <c r="C48" s="512">
        <f>'BW2-Field Act. Labor &amp; Mach.'!$I$64</f>
        <v>26.3842</v>
      </c>
      <c r="D48" s="520">
        <f>'BW2-Field Act. Labor &amp; Mach.'!K64</f>
        <v>4.5434266879999994</v>
      </c>
      <c r="E48" s="520">
        <f>'BW2-Field Act. Labor &amp; Mach.'!L64</f>
        <v>3.8571108546602404</v>
      </c>
      <c r="F48" s="526"/>
      <c r="G48" s="463"/>
      <c r="H48" s="463"/>
      <c r="I48" s="132"/>
      <c r="J48" s="112"/>
      <c r="K48" s="112"/>
      <c r="L48" s="113"/>
      <c r="M48" s="113"/>
      <c r="N48" s="113"/>
      <c r="O48" s="113"/>
      <c r="P48" s="109"/>
    </row>
    <row r="49" spans="2:16">
      <c r="B49" s="132" t="s">
        <v>43</v>
      </c>
      <c r="C49" s="512">
        <f>'BW2-Field Act. Labor &amp; Mach.'!$I$66</f>
        <v>5.27684</v>
      </c>
      <c r="D49" s="520">
        <f>'BW2-Field Act. Labor &amp; Mach.'!K66</f>
        <v>4.7393418269465482</v>
      </c>
      <c r="E49" s="520">
        <f>'BW2-Field Act. Labor &amp; Mach.'!L66</f>
        <v>4.8215303303156709</v>
      </c>
      <c r="F49" s="526"/>
      <c r="G49" s="463"/>
      <c r="H49" s="463"/>
      <c r="I49" s="132"/>
      <c r="J49" s="112"/>
      <c r="K49" s="112"/>
      <c r="L49" s="113"/>
      <c r="M49" s="113"/>
      <c r="N49" s="113"/>
      <c r="O49" s="113"/>
      <c r="P49" s="109"/>
    </row>
    <row r="50" spans="2:16">
      <c r="B50" s="132" t="s">
        <v>44</v>
      </c>
      <c r="C50" s="512">
        <f>'BW2-Field Act. Labor &amp; Mach.'!$I$67</f>
        <v>5.27684</v>
      </c>
      <c r="D50" s="520">
        <f>'BW2-Field Act. Labor &amp; Mach.'!K67</f>
        <v>4.5754035882945541</v>
      </c>
      <c r="E50" s="520">
        <f>'BW2-Field Act. Labor &amp; Mach.'!L67</f>
        <v>8.7882358546602415</v>
      </c>
      <c r="F50" s="526"/>
      <c r="G50" s="463"/>
      <c r="H50" s="463"/>
      <c r="I50" s="132"/>
      <c r="J50" s="112"/>
      <c r="K50" s="112"/>
      <c r="L50" s="113"/>
      <c r="M50" s="113"/>
      <c r="N50" s="113"/>
      <c r="O50" s="113"/>
      <c r="P50" s="109"/>
    </row>
    <row r="51" spans="2:16">
      <c r="B51" s="132" t="s">
        <v>45</v>
      </c>
      <c r="C51" s="512">
        <f>'BW2-Field Act. Labor &amp; Mach.'!$I$69</f>
        <v>14.511310000000002</v>
      </c>
      <c r="D51" s="520">
        <f>'BW2-Field Act. Labor &amp; Mach.'!K69</f>
        <v>5.9046727740142977</v>
      </c>
      <c r="E51" s="520">
        <f>'BW2-Field Act. Labor &amp; Mach.'!L69</f>
        <v>8.041581086300118</v>
      </c>
      <c r="F51" s="526"/>
      <c r="G51" s="463"/>
      <c r="H51" s="463"/>
      <c r="I51" s="115"/>
      <c r="J51" s="118"/>
      <c r="K51" s="112"/>
      <c r="L51" s="113"/>
      <c r="M51" s="113"/>
      <c r="N51" s="113"/>
      <c r="O51" s="113"/>
      <c r="P51" s="109"/>
    </row>
    <row r="52" spans="2:16">
      <c r="B52" s="500" t="str">
        <f>'BW3-Variable Input'!$B$33</f>
        <v>Winter cover crop seed</v>
      </c>
      <c r="C52" s="513"/>
      <c r="D52" s="521"/>
      <c r="E52" s="521"/>
      <c r="F52" s="527">
        <f>'BW3-Variable Input'!$C$33</f>
        <v>31.793452380952385</v>
      </c>
      <c r="G52" s="492"/>
      <c r="H52" s="492"/>
      <c r="I52" s="265"/>
      <c r="J52" s="112"/>
      <c r="K52" s="112"/>
      <c r="L52" s="113"/>
      <c r="M52" s="113"/>
      <c r="N52" s="113"/>
      <c r="O52" s="113"/>
      <c r="P52" s="109"/>
    </row>
    <row r="53" spans="2:16" s="453" customFormat="1">
      <c r="B53" s="824" t="s">
        <v>508</v>
      </c>
      <c r="C53" s="444">
        <f>SUM(C48:C52)</f>
        <v>51.449190000000002</v>
      </c>
      <c r="D53" s="444">
        <f>SUM(D48:D52)</f>
        <v>19.762844877255397</v>
      </c>
      <c r="E53" s="444">
        <f>SUM(E48:E52)</f>
        <v>25.508458125936272</v>
      </c>
      <c r="F53" s="444">
        <f>SUM(F48:F52)</f>
        <v>31.793452380952385</v>
      </c>
      <c r="G53" s="447" t="s">
        <v>4</v>
      </c>
      <c r="H53" s="446">
        <f>SUM(C53:F53)</f>
        <v>128.51394538414405</v>
      </c>
      <c r="I53" s="117"/>
      <c r="J53" s="499"/>
      <c r="K53" s="476"/>
      <c r="L53" s="478"/>
      <c r="M53" s="478"/>
      <c r="N53" s="478"/>
      <c r="O53" s="478"/>
      <c r="P53" s="475"/>
    </row>
    <row r="54" spans="2:16" s="120" customFormat="1">
      <c r="B54" s="593"/>
      <c r="C54" s="133"/>
      <c r="D54" s="133"/>
      <c r="E54" s="133"/>
      <c r="F54" s="133"/>
      <c r="G54" s="463"/>
      <c r="H54" s="826"/>
      <c r="I54" s="132"/>
      <c r="J54" s="127"/>
      <c r="K54" s="127"/>
      <c r="L54" s="113"/>
      <c r="M54" s="113"/>
      <c r="N54" s="113"/>
      <c r="O54" s="113"/>
    </row>
    <row r="55" spans="2:16" s="453" customFormat="1">
      <c r="B55" s="116" t="s">
        <v>515</v>
      </c>
      <c r="C55" s="444">
        <f>C38+C44+C53</f>
        <v>2405.6194501761252</v>
      </c>
      <c r="D55" s="444">
        <f>D38+D44+D53</f>
        <v>155.85299184639183</v>
      </c>
      <c r="E55" s="444">
        <f>E38+E44+E53</f>
        <v>325.21645287362384</v>
      </c>
      <c r="F55" s="444">
        <f>F38+F44+F53</f>
        <v>1918.0168096683535</v>
      </c>
      <c r="G55" s="447" t="s">
        <v>4</v>
      </c>
      <c r="H55" s="446">
        <f>SUM(C55:F55)</f>
        <v>4804.7057045644942</v>
      </c>
      <c r="I55" s="117"/>
      <c r="J55" s="476"/>
      <c r="K55" s="476"/>
      <c r="L55" s="478"/>
      <c r="M55" s="478"/>
      <c r="N55" s="478"/>
      <c r="O55" s="478"/>
      <c r="P55" s="475"/>
    </row>
    <row r="56" spans="2:16">
      <c r="B56" s="114"/>
      <c r="C56" s="133"/>
      <c r="D56" s="133"/>
      <c r="E56" s="133"/>
      <c r="F56" s="133"/>
      <c r="G56" s="463"/>
      <c r="H56" s="463"/>
      <c r="I56" s="132"/>
      <c r="J56" s="112"/>
      <c r="K56" s="112"/>
      <c r="L56" s="113"/>
      <c r="M56" s="113"/>
      <c r="N56" s="113"/>
      <c r="O56" s="113"/>
      <c r="P56" s="109"/>
    </row>
    <row r="57" spans="2:16">
      <c r="B57" s="1032"/>
      <c r="C57" s="1033"/>
      <c r="D57" s="1033"/>
      <c r="E57" s="1033"/>
      <c r="F57" s="1033"/>
      <c r="G57" s="1033"/>
      <c r="H57" s="1033"/>
    </row>
    <row r="58" spans="2:16">
      <c r="B58" s="916"/>
      <c r="C58" s="916"/>
      <c r="D58" s="916"/>
      <c r="E58" s="916"/>
      <c r="F58" s="916"/>
      <c r="G58" s="916"/>
      <c r="H58" s="916"/>
    </row>
    <row r="59" spans="2:16">
      <c r="B59" s="116" t="s">
        <v>664</v>
      </c>
      <c r="C59" s="916"/>
      <c r="D59" s="916"/>
      <c r="E59" s="916"/>
      <c r="F59" s="916"/>
      <c r="G59" s="916"/>
      <c r="H59" s="916"/>
    </row>
    <row r="60" spans="2:16">
      <c r="B60" s="985" t="s">
        <v>668</v>
      </c>
      <c r="C60" s="916"/>
      <c r="D60" s="916"/>
      <c r="E60" s="916"/>
      <c r="F60" s="916"/>
      <c r="G60" s="916"/>
      <c r="H60" s="986">
        <f>C38+C53</f>
        <v>933.28686089041094</v>
      </c>
    </row>
    <row r="61" spans="2:16">
      <c r="B61" s="135" t="s">
        <v>667</v>
      </c>
      <c r="C61" s="916"/>
      <c r="D61" s="916"/>
      <c r="E61" s="916"/>
      <c r="F61" s="916"/>
      <c r="G61" s="916"/>
      <c r="H61" s="986">
        <f>D38+D53</f>
        <v>147.04343340693566</v>
      </c>
    </row>
    <row r="62" spans="2:16">
      <c r="B62" s="985" t="s">
        <v>669</v>
      </c>
      <c r="C62" s="469"/>
      <c r="D62" s="133"/>
      <c r="E62" s="444"/>
      <c r="F62" s="464"/>
      <c r="G62" s="442"/>
      <c r="H62" s="133">
        <f>F38+F53</f>
        <v>1918.0168096683535</v>
      </c>
      <c r="I62" s="404"/>
      <c r="J62" s="112"/>
      <c r="K62" s="113"/>
      <c r="L62" s="113"/>
      <c r="M62" s="113"/>
      <c r="N62" s="113"/>
      <c r="O62" s="109"/>
    </row>
    <row r="63" spans="2:16">
      <c r="B63" s="831" t="s">
        <v>666</v>
      </c>
      <c r="C63" s="469"/>
      <c r="D63" s="469"/>
      <c r="E63" s="592"/>
      <c r="F63" s="464"/>
      <c r="G63" s="442"/>
      <c r="H63" s="848">
        <f>SUM(H60:H62)</f>
        <v>2998.3471039657002</v>
      </c>
      <c r="I63" s="404"/>
      <c r="J63" s="112"/>
      <c r="K63" s="113"/>
      <c r="L63" s="113"/>
      <c r="M63" s="113"/>
      <c r="N63" s="113"/>
      <c r="O63" s="109"/>
    </row>
    <row r="64" spans="2:16">
      <c r="B64" s="985" t="s">
        <v>680</v>
      </c>
      <c r="C64" s="469"/>
      <c r="D64" s="469"/>
      <c r="E64" s="469"/>
      <c r="F64" s="132"/>
      <c r="G64" s="442"/>
      <c r="H64" s="463">
        <f>C44</f>
        <v>1472.3325892857142</v>
      </c>
      <c r="I64" s="404"/>
      <c r="J64" s="112"/>
      <c r="K64" s="113"/>
      <c r="L64" s="113"/>
      <c r="M64" s="113"/>
      <c r="N64" s="113"/>
      <c r="O64" s="109"/>
    </row>
    <row r="65" spans="2:17">
      <c r="B65" s="985" t="s">
        <v>445</v>
      </c>
      <c r="C65" s="469"/>
      <c r="D65" s="469"/>
      <c r="E65" s="469"/>
      <c r="F65" s="132"/>
      <c r="G65" s="229"/>
      <c r="H65" s="463">
        <f>D44</f>
        <v>8.8095584394561897</v>
      </c>
      <c r="I65" s="404"/>
      <c r="J65" s="112"/>
      <c r="K65" s="113"/>
      <c r="L65" s="113"/>
      <c r="M65" s="113"/>
      <c r="N65" s="113"/>
      <c r="O65" s="109"/>
    </row>
    <row r="66" spans="2:17">
      <c r="B66" s="985" t="s">
        <v>670</v>
      </c>
      <c r="C66" s="469"/>
      <c r="D66" s="444"/>
      <c r="E66" s="469"/>
      <c r="F66" s="132"/>
      <c r="G66" s="132"/>
      <c r="H66" s="463">
        <f>F44</f>
        <v>0</v>
      </c>
      <c r="I66" s="404"/>
      <c r="J66" s="112"/>
      <c r="K66" s="113"/>
      <c r="L66" s="113"/>
      <c r="M66" s="113"/>
      <c r="N66" s="113"/>
      <c r="O66" s="109"/>
    </row>
    <row r="67" spans="2:17">
      <c r="B67" s="831" t="s">
        <v>671</v>
      </c>
      <c r="C67" s="43"/>
      <c r="D67" s="43"/>
      <c r="E67" s="832"/>
      <c r="F67" s="43"/>
      <c r="G67" s="43"/>
      <c r="H67" s="598">
        <f>SUM(H64:H66)</f>
        <v>1481.1421477251704</v>
      </c>
      <c r="I67" s="404"/>
      <c r="J67" s="112"/>
      <c r="K67" s="113"/>
      <c r="L67" s="113"/>
      <c r="M67" s="113"/>
      <c r="N67" s="113"/>
      <c r="O67" s="109"/>
    </row>
    <row r="68" spans="2:17">
      <c r="B68" s="833" t="s">
        <v>513</v>
      </c>
      <c r="C68" s="919"/>
      <c r="D68" s="919"/>
      <c r="E68" s="987"/>
      <c r="F68" s="988"/>
      <c r="G68" s="919"/>
      <c r="H68" s="818">
        <f>H63+H67</f>
        <v>4479.4892516908703</v>
      </c>
      <c r="I68" s="404"/>
      <c r="J68" s="112"/>
      <c r="K68" s="113"/>
      <c r="L68" s="113"/>
      <c r="M68" s="113"/>
      <c r="N68" s="113"/>
      <c r="O68" s="109"/>
    </row>
    <row r="69" spans="2:17">
      <c r="B69" s="985" t="s">
        <v>672</v>
      </c>
      <c r="C69" s="135"/>
      <c r="D69" s="135"/>
      <c r="E69" s="472"/>
      <c r="F69" s="135"/>
      <c r="G69" s="135"/>
      <c r="H69" s="989">
        <f>E38+E53</f>
        <v>306.90330265100602</v>
      </c>
      <c r="I69" s="404"/>
      <c r="J69" s="112"/>
      <c r="K69" s="113"/>
      <c r="L69" s="113"/>
      <c r="M69" s="113"/>
      <c r="N69" s="113"/>
      <c r="O69" s="109"/>
    </row>
    <row r="70" spans="2:17">
      <c r="B70" s="985" t="s">
        <v>673</v>
      </c>
      <c r="C70" s="135"/>
      <c r="D70" s="135"/>
      <c r="E70" s="472"/>
      <c r="F70" s="135"/>
      <c r="G70" s="135"/>
      <c r="H70" s="990">
        <f>E44</f>
        <v>18.313150222617821</v>
      </c>
      <c r="I70" s="404"/>
      <c r="J70" s="112"/>
      <c r="K70" s="113"/>
      <c r="L70" s="113"/>
      <c r="M70" s="113"/>
      <c r="N70" s="113"/>
      <c r="O70" s="109"/>
    </row>
    <row r="71" spans="2:17">
      <c r="B71" s="837" t="s">
        <v>514</v>
      </c>
      <c r="C71" s="919"/>
      <c r="D71" s="919"/>
      <c r="E71" s="987"/>
      <c r="F71" s="988"/>
      <c r="G71" s="919"/>
      <c r="H71" s="819">
        <f>H69+H70</f>
        <v>325.21645287362384</v>
      </c>
      <c r="I71" s="404"/>
      <c r="J71" s="112"/>
      <c r="K71" s="113"/>
      <c r="L71" s="113"/>
      <c r="M71" s="113"/>
      <c r="N71" s="113"/>
      <c r="O71" s="109"/>
    </row>
    <row r="72" spans="2:17">
      <c r="B72" s="264"/>
      <c r="C72" s="469"/>
      <c r="D72" s="242"/>
      <c r="E72" s="469"/>
      <c r="F72" s="132"/>
      <c r="G72" s="132"/>
      <c r="H72" s="442"/>
      <c r="I72" s="404"/>
      <c r="J72" s="112"/>
      <c r="K72" s="111"/>
      <c r="L72" s="111"/>
      <c r="M72" s="111"/>
      <c r="N72" s="111"/>
      <c r="O72" s="109"/>
    </row>
    <row r="73" spans="2:17">
      <c r="B73" s="132"/>
      <c r="C73" s="469"/>
      <c r="D73" s="469"/>
      <c r="E73" s="469"/>
      <c r="F73" s="132"/>
      <c r="G73" s="442"/>
      <c r="H73" s="442"/>
      <c r="I73" s="404"/>
      <c r="J73" s="112"/>
      <c r="K73" s="111"/>
      <c r="L73" s="111"/>
      <c r="M73" s="111"/>
      <c r="N73" s="111"/>
      <c r="O73" s="109"/>
    </row>
    <row r="74" spans="2:17">
      <c r="B74" s="132"/>
      <c r="C74" s="132"/>
      <c r="D74" s="132"/>
      <c r="E74" s="132"/>
      <c r="F74" s="132"/>
      <c r="G74" s="132"/>
      <c r="H74" s="265"/>
      <c r="I74" s="132"/>
      <c r="L74" s="109"/>
      <c r="M74" s="109"/>
      <c r="N74" s="109"/>
      <c r="O74" s="109"/>
      <c r="P74" s="109"/>
    </row>
    <row r="75" spans="2:17">
      <c r="B75" s="132"/>
      <c r="C75" s="132"/>
      <c r="D75" s="265"/>
      <c r="E75" s="132"/>
      <c r="F75" s="132"/>
      <c r="G75" s="132"/>
      <c r="H75" s="132"/>
      <c r="I75" s="265"/>
      <c r="J75" s="110"/>
      <c r="M75" s="109"/>
      <c r="N75" s="109"/>
      <c r="O75" s="109"/>
      <c r="P75" s="109"/>
      <c r="Q75"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85"/>
  <sheetViews>
    <sheetView showGridLines="0" view="pageLayout" topLeftCell="A35" workbookViewId="0">
      <selection activeCell="B48" sqref="B48"/>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8.42578125" style="108" customWidth="1"/>
    <col min="10" max="10" width="6.85546875" style="108" customWidth="1"/>
    <col min="11" max="11" width="14.42578125" style="108" customWidth="1"/>
    <col min="12" max="13" width="8.7109375" style="108"/>
    <col min="14" max="14" width="12.42578125" style="108" customWidth="1"/>
    <col min="15" max="17" width="8.7109375" style="108"/>
    <col min="18" max="18" width="11.5703125" style="108" customWidth="1"/>
    <col min="19" max="16384" width="8.7109375" style="108"/>
  </cols>
  <sheetData>
    <row r="1" spans="2:18" ht="16" thickBot="1">
      <c r="F1" s="563"/>
      <c r="G1" s="1263" t="s">
        <v>512</v>
      </c>
      <c r="H1" s="1264"/>
    </row>
    <row r="2" spans="2:18" ht="25" customHeight="1">
      <c r="B2" s="1028" t="str">
        <f>'Workbook Index'!B38</f>
        <v>Greens, Kale/Collards</v>
      </c>
      <c r="C2" s="221"/>
      <c r="D2" s="221"/>
      <c r="E2" s="221"/>
      <c r="I2" s="120"/>
      <c r="J2" s="120"/>
      <c r="K2" s="109"/>
      <c r="L2" s="109"/>
      <c r="M2" s="109"/>
    </row>
    <row r="3" spans="2:18" ht="34" customHeight="1">
      <c r="B3" s="1027" t="s">
        <v>716</v>
      </c>
      <c r="C3" s="132" t="s">
        <v>367</v>
      </c>
      <c r="E3" s="222" t="s">
        <v>14</v>
      </c>
      <c r="F3"/>
      <c r="G3"/>
      <c r="H3"/>
      <c r="I3" s="226"/>
      <c r="J3" s="226"/>
      <c r="K3" s="109"/>
      <c r="L3" s="117"/>
      <c r="M3" s="129"/>
      <c r="N3" s="112"/>
      <c r="O3" s="112"/>
      <c r="P3" s="112"/>
      <c r="Q3" s="112"/>
      <c r="R3" s="112"/>
    </row>
    <row r="4" spans="2:18">
      <c r="B4" s="918"/>
      <c r="C4" s="132" t="s">
        <v>47</v>
      </c>
      <c r="D4" s="916"/>
      <c r="E4" s="1067">
        <f>'BW1-Bed and Row Spacing'!J20</f>
        <v>6701.5384615384619</v>
      </c>
      <c r="F4" s="135"/>
      <c r="G4" s="135"/>
      <c r="H4" s="135"/>
      <c r="L4" s="110"/>
      <c r="M4" s="111"/>
      <c r="N4" s="112"/>
      <c r="O4" s="112"/>
      <c r="P4" s="112"/>
      <c r="Q4" s="112"/>
      <c r="R4" s="112"/>
    </row>
    <row r="5" spans="2:18">
      <c r="B5" s="915"/>
      <c r="C5" s="132" t="s">
        <v>366</v>
      </c>
      <c r="D5" s="916"/>
      <c r="E5" s="1338" t="s">
        <v>822</v>
      </c>
      <c r="F5" s="1338"/>
      <c r="G5" s="1338"/>
      <c r="H5" s="1338"/>
      <c r="L5" s="110"/>
      <c r="M5" s="111"/>
      <c r="N5" s="112"/>
      <c r="O5" s="112"/>
      <c r="P5" s="112"/>
      <c r="Q5" s="112"/>
      <c r="R5" s="112"/>
    </row>
    <row r="6" spans="2:18">
      <c r="B6" s="223"/>
      <c r="C6" s="915"/>
      <c r="D6" s="916"/>
      <c r="E6" s="1338"/>
      <c r="F6" s="1338"/>
      <c r="G6" s="1338"/>
      <c r="H6" s="1338"/>
      <c r="L6" s="112"/>
      <c r="M6" s="112"/>
      <c r="N6" s="112"/>
      <c r="O6" s="112"/>
    </row>
    <row r="7" spans="2:18">
      <c r="B7" s="1032"/>
      <c r="C7" s="1033"/>
      <c r="D7" s="1033"/>
      <c r="E7" s="1033"/>
      <c r="F7" s="1033"/>
      <c r="G7" s="1033"/>
      <c r="H7" s="1033"/>
    </row>
    <row r="8" spans="2:18">
      <c r="B8" s="553" t="s">
        <v>517</v>
      </c>
      <c r="C8" s="492"/>
      <c r="D8" s="492"/>
      <c r="E8" s="492"/>
      <c r="F8" s="492"/>
      <c r="G8" s="492"/>
      <c r="H8" s="492"/>
    </row>
    <row r="9" spans="2:18" customFormat="1" ht="33" customHeight="1">
      <c r="B9" s="420" t="s">
        <v>711</v>
      </c>
      <c r="C9" s="421" t="s">
        <v>707</v>
      </c>
      <c r="D9" s="421" t="s">
        <v>708</v>
      </c>
      <c r="E9" s="421" t="s">
        <v>709</v>
      </c>
      <c r="F9" s="421" t="s">
        <v>710</v>
      </c>
      <c r="G9" s="919"/>
      <c r="H9" s="920"/>
      <c r="M9" s="112"/>
      <c r="N9" s="112"/>
      <c r="O9" s="112"/>
      <c r="P9" s="6"/>
      <c r="Q9" s="6"/>
    </row>
    <row r="10" spans="2:18" customFormat="1" ht="30">
      <c r="B10" s="993" t="s">
        <v>516</v>
      </c>
      <c r="C10" s="991" t="s">
        <v>849</v>
      </c>
      <c r="D10" s="991" t="s">
        <v>849</v>
      </c>
      <c r="E10" s="991" t="s">
        <v>849</v>
      </c>
      <c r="F10" s="991" t="s">
        <v>850</v>
      </c>
      <c r="G10" s="992"/>
      <c r="H10" s="462"/>
      <c r="M10" s="112"/>
      <c r="N10" s="112"/>
      <c r="O10" s="6"/>
      <c r="P10" s="6"/>
    </row>
    <row r="11" spans="2:18" ht="15" customHeight="1">
      <c r="B11" s="921" t="s">
        <v>298</v>
      </c>
      <c r="C11" s="511"/>
      <c r="D11" s="519"/>
      <c r="E11" s="519"/>
      <c r="F11" s="525"/>
      <c r="G11" s="1335" t="s">
        <v>705</v>
      </c>
      <c r="H11" s="1335"/>
      <c r="I11" s="112"/>
      <c r="J11" s="112"/>
      <c r="K11" s="113"/>
      <c r="L11" s="113"/>
      <c r="M11" s="113"/>
      <c r="N11" s="113"/>
      <c r="O11" s="109"/>
    </row>
    <row r="12" spans="2:18" ht="15" customHeight="1">
      <c r="B12" s="265" t="s">
        <v>145</v>
      </c>
      <c r="C12" s="512">
        <f>('BW2-Field Act. Labor &amp; Mach.'!$I$9)/2</f>
        <v>4.617235</v>
      </c>
      <c r="D12" s="520">
        <f>('BW2-Field Act. Labor &amp; Mach.'!K9)/2</f>
        <v>3.5813406372812948</v>
      </c>
      <c r="E12" s="520">
        <f>('BW2-Field Act. Labor &amp; Mach.'!L9)/2</f>
        <v>3.2848834445648656</v>
      </c>
      <c r="F12" s="526"/>
      <c r="G12" s="1336"/>
      <c r="H12" s="1336"/>
      <c r="I12" s="112"/>
      <c r="J12" s="112"/>
      <c r="K12" s="113"/>
      <c r="L12" s="113"/>
      <c r="M12" s="113"/>
      <c r="N12" s="113"/>
      <c r="O12" s="109"/>
    </row>
    <row r="13" spans="2:18" ht="15" customHeight="1">
      <c r="B13" s="462" t="s">
        <v>45</v>
      </c>
      <c r="C13" s="512">
        <f>('BW2-Field Act. Labor &amp; Mach.'!$I$69)/2</f>
        <v>7.2556550000000009</v>
      </c>
      <c r="D13" s="520">
        <f>('BW2-Field Act. Labor &amp; Mach.'!K69)/2</f>
        <v>2.9523363870071488</v>
      </c>
      <c r="E13" s="520">
        <f>('BW2-Field Act. Labor &amp; Mach.'!L69)/2</f>
        <v>4.020790543150059</v>
      </c>
      <c r="F13" s="526"/>
      <c r="G13" s="1336"/>
      <c r="H13" s="1336"/>
      <c r="I13" s="112"/>
      <c r="J13" s="112"/>
      <c r="K13" s="113"/>
      <c r="L13" s="113"/>
      <c r="M13" s="113"/>
      <c r="N13" s="113"/>
      <c r="O13" s="109"/>
    </row>
    <row r="14" spans="2:18" ht="15" customHeight="1">
      <c r="B14" s="500" t="str">
        <f>'BW3-Variable Input'!$B$34</f>
        <v>Summer cover crop seed</v>
      </c>
      <c r="C14" s="513"/>
      <c r="D14" s="521"/>
      <c r="E14" s="521"/>
      <c r="F14" s="527">
        <f>('BW3-Variable Input'!$C$34)/2</f>
        <v>16.173333333333336</v>
      </c>
      <c r="G14" s="1337"/>
      <c r="H14" s="1337"/>
      <c r="I14" s="112"/>
      <c r="J14" s="112"/>
      <c r="K14" s="113"/>
      <c r="L14" s="113"/>
      <c r="M14" s="113"/>
      <c r="N14" s="113"/>
      <c r="O14" s="109"/>
    </row>
    <row r="15" spans="2:18">
      <c r="B15" s="264"/>
      <c r="C15" s="456"/>
      <c r="D15" s="456"/>
      <c r="E15" s="456"/>
      <c r="F15" s="456"/>
      <c r="G15" s="455"/>
      <c r="H15" s="464"/>
      <c r="I15" s="110"/>
      <c r="J15" s="121"/>
      <c r="K15" s="112"/>
      <c r="L15" s="112"/>
      <c r="M15" s="112"/>
      <c r="N15" s="112"/>
      <c r="O15" s="112"/>
    </row>
    <row r="16" spans="2:18" ht="15" customHeight="1">
      <c r="B16" s="922" t="s">
        <v>181</v>
      </c>
      <c r="C16" s="514"/>
      <c r="D16" s="522"/>
      <c r="E16" s="522"/>
      <c r="F16" s="528"/>
      <c r="G16" s="509"/>
      <c r="H16" s="509"/>
      <c r="I16" s="118"/>
      <c r="J16" s="112"/>
      <c r="K16" s="112"/>
      <c r="L16" s="112"/>
      <c r="M16" s="112"/>
      <c r="N16" s="112"/>
    </row>
    <row r="17" spans="2:14" ht="15" customHeight="1">
      <c r="B17" s="265" t="s">
        <v>307</v>
      </c>
      <c r="C17" s="512">
        <f>'BW2-Field Act. Labor &amp; Mach.'!I9</f>
        <v>9.23447</v>
      </c>
      <c r="D17" s="520">
        <f>'BW2-Field Act. Labor &amp; Mach.'!K9</f>
        <v>7.1626812745625896</v>
      </c>
      <c r="E17" s="520">
        <f>'BW2-Field Act. Labor &amp; Mach.'!L9</f>
        <v>6.5697668891297312</v>
      </c>
      <c r="F17" s="526"/>
      <c r="G17" s="465"/>
      <c r="H17" s="465"/>
      <c r="I17" s="112"/>
      <c r="J17" s="118"/>
      <c r="K17" s="118"/>
      <c r="L17" s="112"/>
      <c r="M17" s="112"/>
      <c r="N17" s="112"/>
    </row>
    <row r="18" spans="2:14" ht="15" customHeight="1">
      <c r="B18" s="132" t="s">
        <v>46</v>
      </c>
      <c r="C18" s="512">
        <f>'BW2-Field Act. Labor &amp; Mach.'!I10</f>
        <v>11.87289</v>
      </c>
      <c r="D18" s="520">
        <f>'BW2-Field Act. Labor &amp; Mach.'!K10</f>
        <v>16.900081383311999</v>
      </c>
      <c r="E18" s="520">
        <f>'BW2-Field Act. Labor &amp; Mach.'!L10</f>
        <v>23.703168100043012</v>
      </c>
      <c r="F18" s="526"/>
      <c r="G18" s="133"/>
      <c r="H18" s="465"/>
      <c r="I18" s="112"/>
      <c r="J18" s="112"/>
      <c r="K18" s="112"/>
      <c r="L18" s="118"/>
      <c r="M18" s="112"/>
      <c r="N18" s="112"/>
    </row>
    <row r="19" spans="2:14" ht="15" customHeight="1">
      <c r="B19" s="151" t="s">
        <v>69</v>
      </c>
      <c r="C19" s="512"/>
      <c r="D19" s="520"/>
      <c r="E19" s="520"/>
      <c r="F19" s="526">
        <f>'BW3-Variable Input'!C9</f>
        <v>116.66666666666667</v>
      </c>
      <c r="G19" s="133"/>
      <c r="H19" s="465"/>
      <c r="I19" s="112"/>
      <c r="J19" s="112"/>
      <c r="K19" s="112"/>
      <c r="L19" s="118"/>
      <c r="M19" s="112"/>
      <c r="N19" s="112"/>
    </row>
    <row r="20" spans="2:14" ht="15" customHeight="1">
      <c r="B20" s="132" t="s">
        <v>11</v>
      </c>
      <c r="C20" s="512">
        <f>'BW2-Field Act. Labor &amp; Mach.'!I13</f>
        <v>22.426569999999998</v>
      </c>
      <c r="D20" s="520">
        <f>'BW2-Field Act. Labor &amp; Mach.'!K13</f>
        <v>17.993866831056</v>
      </c>
      <c r="E20" s="520">
        <f>'BW2-Field Act. Labor &amp; Mach.'!L13</f>
        <v>44.771770188886023</v>
      </c>
      <c r="F20" s="526"/>
      <c r="G20" s="133"/>
      <c r="H20" s="463"/>
      <c r="I20" s="112"/>
      <c r="J20" s="112"/>
      <c r="K20" s="112"/>
      <c r="L20" s="118"/>
      <c r="M20" s="112"/>
      <c r="N20" s="112"/>
    </row>
    <row r="21" spans="2:14" ht="15" customHeight="1">
      <c r="B21" s="132" t="s">
        <v>12</v>
      </c>
      <c r="C21" s="512">
        <f>'BW2-Field Act. Labor &amp; Mach.'!I14</f>
        <v>10.55368</v>
      </c>
      <c r="D21" s="520">
        <f>'BW2-Field Act. Labor &amp; Mach.'!K14</f>
        <v>9.2140341759999984</v>
      </c>
      <c r="E21" s="520">
        <f>'BW2-Field Act. Labor &amp; Mach.'!L14</f>
        <v>29.935417361494395</v>
      </c>
      <c r="F21" s="526"/>
      <c r="G21" s="133"/>
      <c r="H21" s="463"/>
      <c r="I21" s="112"/>
      <c r="J21" s="112"/>
      <c r="K21" s="112"/>
      <c r="L21" s="112"/>
      <c r="M21" s="112"/>
      <c r="N21" s="112"/>
    </row>
    <row r="22" spans="2:14" ht="15" customHeight="1">
      <c r="B22" s="132" t="s">
        <v>144</v>
      </c>
      <c r="C22" s="512">
        <f>'BW2-Field Act. Labor &amp; Mach.'!I15</f>
        <v>59.364449999999998</v>
      </c>
      <c r="D22" s="520">
        <f>'BW2-Field Act. Labor &amp; Mach.'!K15</f>
        <v>11.732543673988348</v>
      </c>
      <c r="E22" s="520">
        <f>'BW2-Field Act. Labor &amp; Mach.'!L15</f>
        <v>19.938595491388046</v>
      </c>
      <c r="F22" s="526"/>
      <c r="G22" s="265"/>
      <c r="H22" s="463"/>
      <c r="I22" s="112"/>
      <c r="J22" s="112"/>
      <c r="K22" s="112"/>
      <c r="L22" s="112"/>
      <c r="M22" s="112"/>
      <c r="N22" s="112"/>
    </row>
    <row r="23" spans="2:14" ht="15" customHeight="1">
      <c r="B23" s="151" t="s">
        <v>313</v>
      </c>
      <c r="C23" s="512"/>
      <c r="D23" s="520"/>
      <c r="E23" s="520"/>
      <c r="F23" s="526">
        <f>'BW3-Variable Input'!C23</f>
        <v>125.09538461538463</v>
      </c>
      <c r="G23" s="133"/>
      <c r="H23" s="463"/>
      <c r="I23" s="112"/>
      <c r="J23" s="112"/>
      <c r="K23" s="112"/>
      <c r="L23" s="112"/>
      <c r="M23" s="112"/>
      <c r="N23" s="112"/>
    </row>
    <row r="24" spans="2:14" ht="15" customHeight="1">
      <c r="B24" s="416" t="s">
        <v>192</v>
      </c>
      <c r="C24" s="513">
        <f>'BW2-Field Act. Labor &amp; Mach.'!I16*2</f>
        <v>21.10736</v>
      </c>
      <c r="D24" s="521">
        <f>'BW2-Field Act. Labor &amp; Mach.'!K16*2</f>
        <v>12.051200395575469</v>
      </c>
      <c r="E24" s="521">
        <f>'BW2-Field Act. Labor &amp; Mach.'!L16*2</f>
        <v>17.332156747393537</v>
      </c>
      <c r="F24" s="527"/>
      <c r="G24" s="486"/>
      <c r="H24" s="485"/>
      <c r="I24" s="112"/>
      <c r="J24" s="112"/>
      <c r="K24" s="112"/>
      <c r="L24" s="112"/>
      <c r="M24" s="112"/>
      <c r="N24" s="112"/>
    </row>
    <row r="25" spans="2:14" ht="15" customHeight="1">
      <c r="B25" s="132"/>
      <c r="C25" s="133"/>
      <c r="D25" s="133"/>
      <c r="E25" s="133"/>
      <c r="F25" s="133"/>
      <c r="G25" s="133"/>
      <c r="H25" s="466"/>
      <c r="I25" s="112"/>
      <c r="J25" s="112"/>
      <c r="K25" s="112"/>
      <c r="L25" s="112"/>
      <c r="M25" s="112"/>
      <c r="N25" s="112"/>
    </row>
    <row r="26" spans="2:14" ht="15" customHeight="1">
      <c r="B26" s="921" t="s">
        <v>10</v>
      </c>
      <c r="C26" s="515"/>
      <c r="D26" s="438"/>
      <c r="E26" s="438"/>
      <c r="F26" s="529"/>
      <c r="G26" s="422"/>
      <c r="H26" s="494"/>
      <c r="I26" s="121"/>
      <c r="J26" s="112"/>
      <c r="K26" s="112"/>
      <c r="L26" s="112"/>
      <c r="M26" s="112"/>
      <c r="N26" s="112"/>
    </row>
    <row r="27" spans="2:14" ht="15" customHeight="1">
      <c r="B27" s="132" t="str">
        <f>'BW2-Field Act. Labor &amp; Mach.'!B21</f>
        <v>Transplant on bareground</v>
      </c>
      <c r="C27" s="517">
        <v>224.27</v>
      </c>
      <c r="D27" s="523">
        <f>'BW2-Field Act. Labor &amp; Mach.'!K21</f>
        <v>36.893392063675897</v>
      </c>
      <c r="E27" s="523">
        <f>'BW2-Field Act. Labor &amp; Mach.'!L21</f>
        <v>114.11450861195542</v>
      </c>
      <c r="F27" s="530"/>
      <c r="G27" s="473"/>
      <c r="H27" s="473"/>
      <c r="I27" s="231"/>
      <c r="J27" s="112"/>
      <c r="K27" s="112"/>
      <c r="L27" s="112"/>
      <c r="M27" s="112"/>
      <c r="N27" s="112"/>
    </row>
    <row r="28" spans="2:14" ht="15" customHeight="1">
      <c r="B28" s="151" t="s">
        <v>685</v>
      </c>
      <c r="C28" s="517"/>
      <c r="D28" s="523"/>
      <c r="E28" s="523"/>
      <c r="F28" s="530">
        <f>'BW4-Transplant Production'!F14</f>
        <v>110.11833969230773</v>
      </c>
      <c r="G28" s="1029" t="s">
        <v>720</v>
      </c>
      <c r="H28" s="473"/>
      <c r="I28" s="231"/>
      <c r="J28" s="112"/>
      <c r="K28" s="112"/>
      <c r="L28" s="112"/>
      <c r="M28" s="112"/>
      <c r="N28" s="112"/>
    </row>
    <row r="29" spans="2:14" ht="15" customHeight="1">
      <c r="B29" s="151" t="s">
        <v>459</v>
      </c>
      <c r="C29" s="517">
        <f>'BW4-Transplant Production'!D14</f>
        <v>469.3291237809496</v>
      </c>
      <c r="D29" s="523"/>
      <c r="E29" s="523"/>
      <c r="F29" s="530">
        <f>'BW4-Transplant Production'!E14</f>
        <v>274.10564313809783</v>
      </c>
      <c r="G29" s="1029" t="s">
        <v>720</v>
      </c>
      <c r="H29" s="473"/>
      <c r="I29" s="231"/>
      <c r="J29" s="112"/>
      <c r="K29" s="112"/>
      <c r="L29" s="112"/>
      <c r="M29" s="112"/>
      <c r="N29" s="112"/>
    </row>
    <row r="30" spans="2:14" ht="15" customHeight="1">
      <c r="B30" s="418" t="s">
        <v>315</v>
      </c>
      <c r="C30" s="518"/>
      <c r="D30" s="524"/>
      <c r="E30" s="524"/>
      <c r="F30" s="531">
        <v>176.45</v>
      </c>
      <c r="G30" s="489"/>
      <c r="H30" s="489"/>
      <c r="I30" s="231"/>
      <c r="J30" s="112"/>
      <c r="K30" s="112"/>
      <c r="L30" s="112"/>
      <c r="M30" s="112"/>
      <c r="N30" s="112"/>
    </row>
    <row r="31" spans="2:14" ht="17" customHeight="1">
      <c r="B31" s="151"/>
      <c r="C31" s="133"/>
      <c r="D31" s="133"/>
      <c r="E31" s="133"/>
      <c r="F31" s="133"/>
      <c r="G31" s="133"/>
      <c r="H31" s="463"/>
      <c r="I31" s="112"/>
      <c r="J31" s="112"/>
      <c r="K31" s="112"/>
      <c r="L31" s="112"/>
      <c r="M31" s="112"/>
      <c r="N31" s="112"/>
    </row>
    <row r="32" spans="2:14" ht="15" customHeight="1">
      <c r="B32" s="921" t="s">
        <v>37</v>
      </c>
      <c r="C32" s="515"/>
      <c r="D32" s="438"/>
      <c r="E32" s="438"/>
      <c r="F32" s="529"/>
      <c r="G32" s="422"/>
      <c r="H32" s="494"/>
      <c r="I32" s="121"/>
      <c r="J32" s="112"/>
      <c r="K32" s="112"/>
      <c r="L32" s="112"/>
      <c r="M32" s="112"/>
      <c r="N32" s="112"/>
    </row>
    <row r="33" spans="2:18" ht="15" customHeight="1">
      <c r="B33" s="462" t="s">
        <v>179</v>
      </c>
      <c r="C33" s="512">
        <f>'BW2-Field Act. Labor &amp; Mach.'!$I$31*2</f>
        <v>10.55368</v>
      </c>
      <c r="D33" s="520">
        <f>'BW2-Field Act. Labor &amp; Mach.'!K31*2</f>
        <v>1.6570295666513035</v>
      </c>
      <c r="E33" s="520">
        <f>'BW2-Field Act. Labor &amp; Mach.'!L31*2</f>
        <v>27.363002680965153</v>
      </c>
      <c r="F33" s="526"/>
      <c r="G33" s="133"/>
      <c r="H33" s="133"/>
      <c r="I33" s="112"/>
      <c r="J33" s="118"/>
      <c r="K33" s="112"/>
      <c r="L33" s="112"/>
      <c r="M33" s="112"/>
      <c r="N33" s="112"/>
    </row>
    <row r="34" spans="2:18" ht="15" customHeight="1">
      <c r="B34" s="151" t="str">
        <f>'BW5-Irrigation'!$B$8</f>
        <v>Irrigation supply cost</v>
      </c>
      <c r="C34" s="512"/>
      <c r="D34" s="520"/>
      <c r="E34" s="520"/>
      <c r="F34" s="526">
        <f>'BW5-Irrigation'!$E$8</f>
        <v>32.773534158149545</v>
      </c>
      <c r="G34" s="1029" t="s">
        <v>851</v>
      </c>
      <c r="H34" s="133"/>
      <c r="I34" s="112"/>
      <c r="J34" s="118"/>
      <c r="K34" s="112"/>
      <c r="L34" s="112"/>
      <c r="M34" s="112"/>
      <c r="N34" s="112"/>
    </row>
    <row r="35" spans="2:18" ht="15" customHeight="1">
      <c r="B35" s="132" t="str">
        <f>'BW5-Irrigation'!$B$9</f>
        <v>Irrigation set-up labor cost</v>
      </c>
      <c r="C35" s="512">
        <f>'BW5-Irrigation'!$E$9</f>
        <v>50.735370890410955</v>
      </c>
      <c r="D35" s="520"/>
      <c r="E35" s="520"/>
      <c r="F35" s="526"/>
      <c r="G35" s="1029" t="s">
        <v>851</v>
      </c>
      <c r="H35" s="133"/>
      <c r="I35" s="112"/>
      <c r="J35" s="118"/>
      <c r="K35" s="112"/>
      <c r="L35" s="112"/>
      <c r="M35" s="112"/>
      <c r="N35" s="112"/>
    </row>
    <row r="36" spans="2:18" ht="15" customHeight="1">
      <c r="B36" s="132" t="s">
        <v>184</v>
      </c>
      <c r="C36" s="512">
        <f>'BW2-Field Act. Labor &amp; Mach.'!I39*'BW5-Irrigation'!C25</f>
        <v>126.64416</v>
      </c>
      <c r="D36" s="520"/>
      <c r="E36" s="520"/>
      <c r="F36" s="526"/>
      <c r="G36" s="133"/>
      <c r="H36" s="463"/>
      <c r="I36" s="118"/>
      <c r="J36" s="118"/>
      <c r="K36" s="118"/>
      <c r="L36" s="112"/>
      <c r="M36" s="112"/>
      <c r="N36" s="112"/>
    </row>
    <row r="37" spans="2:18" ht="15" customHeight="1">
      <c r="B37" s="462" t="s">
        <v>230</v>
      </c>
      <c r="C37" s="517">
        <v>6.6</v>
      </c>
      <c r="D37" s="523">
        <f>'BW2-Field Act. Labor &amp; Mach.'!K32</f>
        <v>0.70423756582680397</v>
      </c>
      <c r="E37" s="523">
        <f>'BW2-Field Act. Labor &amp; Mach.'!L32</f>
        <v>11.629276139410191</v>
      </c>
      <c r="F37" s="530"/>
      <c r="G37" s="133"/>
      <c r="H37" s="133"/>
      <c r="I37" s="112"/>
      <c r="J37" s="118"/>
      <c r="K37" s="112"/>
      <c r="L37" s="112"/>
      <c r="M37" s="112"/>
      <c r="N37" s="112"/>
    </row>
    <row r="38" spans="2:18" ht="15" customHeight="1">
      <c r="B38" s="482" t="s">
        <v>308</v>
      </c>
      <c r="C38" s="517"/>
      <c r="D38" s="523"/>
      <c r="E38" s="523"/>
      <c r="F38" s="530">
        <v>8.8000000000000007</v>
      </c>
      <c r="G38" s="133"/>
      <c r="H38" s="133"/>
      <c r="I38" s="112"/>
      <c r="J38" s="118"/>
      <c r="K38" s="112"/>
      <c r="L38" s="112"/>
      <c r="M38" s="112"/>
      <c r="N38" s="112"/>
    </row>
    <row r="39" spans="2:18" ht="15" customHeight="1">
      <c r="B39" s="462" t="s">
        <v>194</v>
      </c>
      <c r="C39" s="512">
        <f>'BW2-Field Act. Labor &amp; Mach.'!$I$28*2</f>
        <v>21.10736</v>
      </c>
      <c r="D39" s="520">
        <f>'BW2-Field Act. Labor &amp; Mach.'!K28*2</f>
        <v>8.7132183142146751</v>
      </c>
      <c r="E39" s="520">
        <f>'BW2-Field Act. Labor &amp; Mach.'!L28*2</f>
        <v>23.101468332237562</v>
      </c>
      <c r="F39" s="526"/>
      <c r="G39" s="133"/>
      <c r="H39" s="463"/>
      <c r="I39" s="112"/>
      <c r="J39" s="118"/>
      <c r="K39" s="112"/>
      <c r="L39" s="112"/>
      <c r="M39" s="112"/>
      <c r="N39" s="112"/>
    </row>
    <row r="40" spans="2:18" ht="15" customHeight="1">
      <c r="B40" s="462" t="str">
        <f>'BW2-Field Act. Labor &amp; Mach.'!$B$34</f>
        <v>Scuffle hoe</v>
      </c>
      <c r="C40" s="512">
        <f>'BW2-Field Act. Labor &amp; Mach.'!$I$34</f>
        <v>98.940749999999994</v>
      </c>
      <c r="D40" s="520"/>
      <c r="E40" s="520"/>
      <c r="F40" s="526"/>
      <c r="G40" s="133"/>
      <c r="H40" s="133"/>
      <c r="I40" s="112"/>
      <c r="J40" s="118"/>
      <c r="K40" s="112"/>
      <c r="L40" s="112"/>
      <c r="M40" s="112"/>
      <c r="N40" s="112"/>
    </row>
    <row r="41" spans="2:18" ht="15" customHeight="1">
      <c r="B41" s="462" t="s">
        <v>180</v>
      </c>
      <c r="C41" s="512">
        <f>'BW2-Field Act. Labor &amp; Mach.'!$I$29*2</f>
        <v>63.32208</v>
      </c>
      <c r="D41" s="520">
        <f>'BW2-Field Act. Labor &amp; Mach.'!K29*2</f>
        <v>18.849340278005133</v>
      </c>
      <c r="E41" s="520">
        <f>'BW2-Field Act. Labor &amp; Mach.'!L29*2</f>
        <v>51.654848024316109</v>
      </c>
      <c r="F41" s="526"/>
      <c r="G41" s="133"/>
      <c r="H41" s="133"/>
      <c r="I41" s="112"/>
      <c r="J41" s="118"/>
      <c r="K41" s="112"/>
      <c r="L41" s="112"/>
      <c r="M41" s="112"/>
      <c r="N41" s="112"/>
    </row>
    <row r="42" spans="2:18" ht="15" customHeight="1">
      <c r="B42" s="462" t="str">
        <f>'BW2-Field Act. Labor &amp; Mach.'!B38</f>
        <v>Undersow clover</v>
      </c>
      <c r="C42" s="512">
        <f>'BW2-Field Act. Labor &amp; Mach.'!$I$38</f>
        <v>7.91526</v>
      </c>
      <c r="D42" s="520"/>
      <c r="E42" s="520"/>
      <c r="F42" s="526"/>
      <c r="G42" s="133"/>
      <c r="H42" s="133"/>
      <c r="I42" s="112"/>
      <c r="J42" s="118"/>
      <c r="K42" s="112"/>
      <c r="L42" s="112"/>
      <c r="M42" s="112"/>
      <c r="N42" s="112"/>
    </row>
    <row r="43" spans="2:18" ht="15" customHeight="1">
      <c r="B43" s="482" t="str">
        <f>'BW3-Variable Input'!$B$37</f>
        <v>Undersown medium red clover seed</v>
      </c>
      <c r="C43" s="512"/>
      <c r="D43" s="520"/>
      <c r="E43" s="520"/>
      <c r="F43" s="526">
        <f>'BW3-Variable Input'!$C$37</f>
        <v>35.200000000000003</v>
      </c>
      <c r="G43" s="133"/>
      <c r="H43" s="463"/>
      <c r="I43" s="112"/>
      <c r="J43" s="112"/>
      <c r="K43" s="113"/>
      <c r="L43" s="113"/>
      <c r="M43" s="113"/>
      <c r="N43" s="113"/>
      <c r="O43" s="109"/>
    </row>
    <row r="44" spans="2:18" ht="15" customHeight="1">
      <c r="B44" s="462" t="s">
        <v>326</v>
      </c>
      <c r="C44" s="512">
        <f>'BW2-Field Act. Labor &amp; Mach.'!I37*3</f>
        <v>39.576300000000003</v>
      </c>
      <c r="D44" s="520">
        <f>'BW2-Field Act. Labor &amp; Mach.'!K37*3</f>
        <v>30.546664935780097</v>
      </c>
      <c r="E44" s="520">
        <f>'BW2-Field Act. Labor &amp; Mach.'!L37*3</f>
        <v>39.314799296778247</v>
      </c>
      <c r="F44" s="526"/>
      <c r="G44" s="133"/>
      <c r="H44" s="133"/>
      <c r="I44" s="112"/>
      <c r="J44" s="118"/>
      <c r="K44" s="112"/>
      <c r="L44" s="112"/>
      <c r="M44" s="112"/>
      <c r="N44" s="112"/>
    </row>
    <row r="45" spans="2:18" ht="15" customHeight="1">
      <c r="B45" s="419" t="s">
        <v>501</v>
      </c>
      <c r="C45" s="513"/>
      <c r="D45" s="521"/>
      <c r="E45" s="521"/>
      <c r="F45" s="527">
        <f>'BW3-Variable Input'!C55</f>
        <v>79.532288700479015</v>
      </c>
      <c r="G45" s="489"/>
      <c r="H45" s="541"/>
      <c r="I45" s="228"/>
      <c r="J45"/>
      <c r="K45"/>
      <c r="L45"/>
      <c r="M45"/>
      <c r="N45"/>
      <c r="O45"/>
      <c r="P45"/>
      <c r="Q45"/>
      <c r="R45"/>
    </row>
    <row r="46" spans="2:18" s="453" customFormat="1" ht="15" customHeight="1">
      <c r="B46" s="824" t="s">
        <v>508</v>
      </c>
      <c r="C46" s="444">
        <f>SUM(C12:C14, C17:C24,C27:C30, C33:C45)</f>
        <v>1265.4263946713602</v>
      </c>
      <c r="D46" s="444">
        <f>SUM(D12:D14, D17:D24,D27:D30, D33:D45)</f>
        <v>178.95196748293677</v>
      </c>
      <c r="E46" s="444">
        <f>SUM(E12:E14, E17:E24,E27:E30, E33:E45)</f>
        <v>416.73445185171232</v>
      </c>
      <c r="F46" s="444">
        <f>SUM(F12:F14, F17:F24,F27:F30, F33:F45)</f>
        <v>974.91519030441884</v>
      </c>
      <c r="G46" s="445" t="s">
        <v>4</v>
      </c>
      <c r="H46" s="446">
        <f>SUM(C46:F46)</f>
        <v>2836.0280043104281</v>
      </c>
      <c r="I46" s="476"/>
      <c r="J46" s="476"/>
      <c r="K46" s="477"/>
      <c r="L46" s="477"/>
      <c r="M46" s="477"/>
      <c r="N46" s="477"/>
      <c r="O46" s="475"/>
    </row>
    <row r="47" spans="2:18" s="120" customFormat="1" ht="15" customHeight="1">
      <c r="B47" s="593"/>
      <c r="C47" s="133"/>
      <c r="D47" s="133"/>
      <c r="E47" s="133"/>
      <c r="F47" s="133"/>
      <c r="G47" s="924"/>
      <c r="H47" s="265"/>
    </row>
    <row r="48" spans="2:18" s="119" customFormat="1" ht="15" customHeight="1">
      <c r="B48" s="116" t="s">
        <v>914</v>
      </c>
      <c r="C48" s="133"/>
      <c r="D48" s="133"/>
      <c r="E48" s="133"/>
      <c r="F48" s="133"/>
      <c r="G48" s="924"/>
      <c r="H48" s="265"/>
    </row>
    <row r="49" spans="2:15" ht="15" customHeight="1">
      <c r="B49" s="921" t="s">
        <v>3</v>
      </c>
      <c r="C49" s="514"/>
      <c r="D49" s="522"/>
      <c r="E49" s="522"/>
      <c r="F49" s="528"/>
      <c r="G49" s="983"/>
      <c r="H49" s="491"/>
      <c r="I49" s="118"/>
      <c r="J49" s="112"/>
      <c r="K49" s="111"/>
      <c r="L49" s="111"/>
      <c r="M49" s="111"/>
      <c r="N49" s="111"/>
      <c r="O49" s="109"/>
    </row>
    <row r="50" spans="2:15" ht="15" customHeight="1">
      <c r="B50" s="132" t="s">
        <v>297</v>
      </c>
      <c r="C50" s="512">
        <f>'BW6-Harvest and Wash-Pack'!D20*'BW6-Harvest and Wash-Pack'!G20</f>
        <v>1978.8150000000001</v>
      </c>
      <c r="D50" s="520">
        <f>'BW2-Field Act. Labor &amp; Mach.'!K54*'BW6-Harvest and Wash-Pack'!G20</f>
        <v>0.39854590537428108</v>
      </c>
      <c r="E50" s="520">
        <f>'BW2-Field Act. Labor &amp; Mach.'!L54*'BW6-Harvest and Wash-Pack'!G20</f>
        <v>2.2052556818181817</v>
      </c>
      <c r="F50" s="526"/>
      <c r="G50" s="1029" t="s">
        <v>852</v>
      </c>
      <c r="H50" s="265"/>
      <c r="I50" s="118"/>
      <c r="J50" s="112"/>
      <c r="K50" s="113"/>
      <c r="L50" s="113"/>
      <c r="M50" s="113"/>
      <c r="N50" s="113"/>
      <c r="O50" s="109"/>
    </row>
    <row r="51" spans="2:15" ht="15" customHeight="1">
      <c r="B51" s="151" t="str">
        <f>'BW3-Variable Input'!$B$70</f>
        <v>Twist ties</v>
      </c>
      <c r="C51" s="517"/>
      <c r="D51" s="523"/>
      <c r="E51" s="523"/>
      <c r="F51" s="526">
        <f>'BW3-Variable Input'!$C$70*'BW6-Harvest and Wash-Pack'!G20</f>
        <v>261.35986499999996</v>
      </c>
      <c r="G51" s="463"/>
      <c r="H51" s="265"/>
      <c r="I51" s="118"/>
      <c r="J51" s="112"/>
      <c r="K51" s="113"/>
      <c r="L51" s="113"/>
      <c r="M51" s="113"/>
      <c r="N51" s="113"/>
      <c r="O51" s="109"/>
    </row>
    <row r="52" spans="2:15" ht="15" customHeight="1">
      <c r="B52" s="132" t="s">
        <v>358</v>
      </c>
      <c r="C52" s="512">
        <f>'BW6-Harvest and Wash-Pack'!F20*'BW6-Harvest and Wash-Pack'!G20</f>
        <v>593.64449999999999</v>
      </c>
      <c r="D52" s="520"/>
      <c r="E52" s="520"/>
      <c r="F52" s="526"/>
      <c r="G52" s="1029" t="s">
        <v>852</v>
      </c>
      <c r="H52" s="463"/>
      <c r="I52" s="118"/>
      <c r="J52" s="112"/>
      <c r="K52" s="113"/>
      <c r="L52" s="113"/>
      <c r="M52" s="113"/>
      <c r="N52" s="113"/>
      <c r="O52" s="109"/>
    </row>
    <row r="53" spans="2:15" ht="15" customHeight="1">
      <c r="B53" s="418" t="str">
        <f>'BW3-Variable Input'!$B$67</f>
        <v>Sani-Date 5.0 Wash Water Sanitizer</v>
      </c>
      <c r="C53" s="518"/>
      <c r="D53" s="524"/>
      <c r="E53" s="524"/>
      <c r="F53" s="531">
        <f>'BW3-Variable Input'!$H$220*'BW6-Harvest and Wash-Pack'!G20</f>
        <v>273.89189189189187</v>
      </c>
      <c r="G53" s="485"/>
      <c r="H53" s="485"/>
      <c r="I53" s="118"/>
      <c r="J53" s="112"/>
      <c r="K53" s="113"/>
      <c r="L53" s="113"/>
      <c r="M53" s="113"/>
      <c r="N53" s="113"/>
      <c r="O53" s="109"/>
    </row>
    <row r="54" spans="2:15" s="453" customFormat="1" ht="15" customHeight="1">
      <c r="B54" s="824" t="s">
        <v>508</v>
      </c>
      <c r="C54" s="444">
        <f>SUM(C50:C53)</f>
        <v>2572.4594999999999</v>
      </c>
      <c r="D54" s="444">
        <f>SUM(D50:D53)</f>
        <v>0.39854590537428108</v>
      </c>
      <c r="E54" s="444">
        <f>SUM(E50:E53)</f>
        <v>2.2052556818181817</v>
      </c>
      <c r="F54" s="444">
        <f>SUM(F50:F53)</f>
        <v>535.25175689189177</v>
      </c>
      <c r="G54" s="445" t="s">
        <v>4</v>
      </c>
      <c r="H54" s="446">
        <f>SUM(C54:F54)</f>
        <v>3110.3150584790837</v>
      </c>
      <c r="I54" s="476"/>
      <c r="J54" s="476"/>
      <c r="K54" s="477"/>
      <c r="L54" s="477"/>
      <c r="M54" s="477"/>
      <c r="N54" s="477"/>
      <c r="O54" s="475"/>
    </row>
    <row r="55" spans="2:15" s="120" customFormat="1" ht="15" customHeight="1">
      <c r="B55" s="593"/>
      <c r="C55" s="133"/>
      <c r="D55" s="133"/>
      <c r="E55" s="133"/>
      <c r="F55" s="133"/>
      <c r="G55" s="924"/>
      <c r="H55" s="265"/>
    </row>
    <row r="56" spans="2:15" s="119" customFormat="1" ht="15" customHeight="1">
      <c r="B56" s="116" t="s">
        <v>662</v>
      </c>
      <c r="C56" s="133"/>
      <c r="D56" s="133"/>
      <c r="E56" s="133"/>
      <c r="F56" s="133"/>
      <c r="G56" s="924"/>
      <c r="H56" s="265"/>
    </row>
    <row r="57" spans="2:15" ht="15" customHeight="1">
      <c r="B57" s="921" t="s">
        <v>663</v>
      </c>
      <c r="C57" s="515"/>
      <c r="D57" s="438"/>
      <c r="E57" s="438"/>
      <c r="F57" s="529"/>
      <c r="G57" s="494"/>
      <c r="H57" s="494"/>
      <c r="I57" s="112"/>
      <c r="J57" s="112"/>
      <c r="K57" s="113"/>
      <c r="L57" s="113"/>
      <c r="M57" s="113"/>
      <c r="N57" s="113"/>
      <c r="O57" s="109"/>
    </row>
    <row r="58" spans="2:15" ht="15" customHeight="1">
      <c r="B58" s="132" t="s">
        <v>42</v>
      </c>
      <c r="C58" s="512">
        <f>'BW2-Field Act. Labor &amp; Mach.'!$I$62</f>
        <v>10.55368</v>
      </c>
      <c r="D58" s="520">
        <f>'BW2-Field Act. Labor &amp; Mach.'!K62</f>
        <v>8.1859214566429603</v>
      </c>
      <c r="E58" s="520">
        <f>'BW2-Field Act. Labor &amp; Mach.'!L62</f>
        <v>7.508305016148265</v>
      </c>
      <c r="F58" s="526"/>
      <c r="G58" s="463"/>
      <c r="H58" s="463"/>
      <c r="I58" s="112"/>
      <c r="J58" s="112"/>
      <c r="K58" s="113"/>
      <c r="L58" s="113"/>
      <c r="M58" s="113"/>
      <c r="N58" s="113"/>
      <c r="O58" s="109"/>
    </row>
    <row r="59" spans="2:15" ht="15" customHeight="1">
      <c r="B59" s="462" t="s">
        <v>43</v>
      </c>
      <c r="C59" s="512">
        <f>'BW2-Field Act. Labor &amp; Mach.'!$I$66</f>
        <v>5.27684</v>
      </c>
      <c r="D59" s="520">
        <f>'BW2-Field Act. Labor &amp; Mach.'!K66</f>
        <v>4.7393418269465482</v>
      </c>
      <c r="E59" s="520">
        <f>'BW2-Field Act. Labor &amp; Mach.'!L66</f>
        <v>4.8215303303156709</v>
      </c>
      <c r="F59" s="526"/>
      <c r="G59" s="463"/>
      <c r="H59" s="463"/>
      <c r="I59" s="118"/>
      <c r="J59" s="112"/>
      <c r="K59" s="113"/>
      <c r="L59" s="113"/>
      <c r="M59" s="113"/>
      <c r="N59" s="113"/>
      <c r="O59" s="109"/>
    </row>
    <row r="60" spans="2:15" ht="15" customHeight="1">
      <c r="B60" s="132" t="s">
        <v>150</v>
      </c>
      <c r="C60" s="512">
        <f>'BW2-Field Act. Labor &amp; Mach.'!$I$65</f>
        <v>42.21472</v>
      </c>
      <c r="D60" s="520">
        <f>'BW2-Field Act. Labor &amp; Mach.'!K65</f>
        <v>3.4075700159999998</v>
      </c>
      <c r="E60" s="520">
        <f>'BW2-Field Act. Labor &amp; Mach.'!L65</f>
        <v>2.89283314099518</v>
      </c>
      <c r="F60" s="526"/>
      <c r="G60" s="463"/>
      <c r="H60" s="463"/>
      <c r="I60" s="118"/>
      <c r="J60" s="112"/>
      <c r="K60" s="113"/>
      <c r="L60" s="113"/>
      <c r="M60" s="113"/>
      <c r="N60" s="113"/>
      <c r="O60" s="109"/>
    </row>
    <row r="61" spans="2:15" ht="15" customHeight="1">
      <c r="B61" s="462" t="s">
        <v>44</v>
      </c>
      <c r="C61" s="512">
        <f>'BW2-Field Act. Labor &amp; Mach.'!$I$67</f>
        <v>5.27684</v>
      </c>
      <c r="D61" s="520">
        <f>'BW2-Field Act. Labor &amp; Mach.'!K67</f>
        <v>4.5754035882945541</v>
      </c>
      <c r="E61" s="520">
        <f>'BW2-Field Act. Labor &amp; Mach.'!L67</f>
        <v>8.7882358546602415</v>
      </c>
      <c r="F61" s="526"/>
      <c r="G61" s="463"/>
      <c r="H61" s="463"/>
      <c r="I61" s="112"/>
      <c r="J61" s="112"/>
      <c r="K61" s="113"/>
      <c r="L61" s="113"/>
      <c r="M61" s="113"/>
      <c r="N61" s="113"/>
      <c r="O61" s="109"/>
    </row>
    <row r="62" spans="2:15" ht="15" customHeight="1">
      <c r="B62" s="462" t="s">
        <v>45</v>
      </c>
      <c r="C62" s="512">
        <f>'BW2-Field Act. Labor &amp; Mach.'!$I$69</f>
        <v>14.511310000000002</v>
      </c>
      <c r="D62" s="520">
        <f>'BW2-Field Act. Labor &amp; Mach.'!K69</f>
        <v>5.9046727740142977</v>
      </c>
      <c r="E62" s="520">
        <f>'BW2-Field Act. Labor &amp; Mach.'!L69</f>
        <v>8.041581086300118</v>
      </c>
      <c r="F62" s="526"/>
      <c r="G62" s="463"/>
      <c r="H62" s="463"/>
      <c r="I62" s="112"/>
      <c r="J62" s="112"/>
      <c r="K62" s="113"/>
      <c r="L62" s="113"/>
      <c r="M62" s="113"/>
      <c r="N62" s="113"/>
      <c r="O62" s="109"/>
    </row>
    <row r="63" spans="2:15" ht="15" customHeight="1">
      <c r="B63" s="500" t="str">
        <f>'BW3-Variable Input'!$B$33</f>
        <v>Winter cover crop seed</v>
      </c>
      <c r="C63" s="513"/>
      <c r="D63" s="521"/>
      <c r="E63" s="521"/>
      <c r="F63" s="527">
        <f>'BW3-Variable Input'!$C$33</f>
        <v>31.793452380952385</v>
      </c>
      <c r="G63" s="485"/>
      <c r="H63" s="485"/>
      <c r="I63" s="118"/>
      <c r="J63" s="112"/>
      <c r="K63" s="113"/>
      <c r="L63" s="113"/>
      <c r="M63" s="113"/>
      <c r="N63" s="113"/>
      <c r="O63" s="109"/>
    </row>
    <row r="64" spans="2:15" s="453" customFormat="1" ht="15" customHeight="1">
      <c r="B64" s="824" t="s">
        <v>508</v>
      </c>
      <c r="C64" s="444">
        <f>SUM(C58:C63)</f>
        <v>77.833390000000009</v>
      </c>
      <c r="D64" s="444">
        <f>SUM(D58:D63)</f>
        <v>26.812909661898363</v>
      </c>
      <c r="E64" s="444">
        <f>SUM(E58:E63)</f>
        <v>32.052485428419473</v>
      </c>
      <c r="F64" s="444">
        <f>SUM(F58:F63)</f>
        <v>31.793452380952385</v>
      </c>
      <c r="G64" s="447" t="s">
        <v>4</v>
      </c>
      <c r="H64" s="446">
        <f>SUM(C64:F64)</f>
        <v>168.49223747127022</v>
      </c>
      <c r="I64" s="476"/>
      <c r="J64" s="476"/>
      <c r="K64" s="478"/>
      <c r="L64" s="478"/>
      <c r="M64" s="478"/>
      <c r="N64" s="478"/>
      <c r="O64" s="475"/>
    </row>
    <row r="65" spans="2:15" s="120" customFormat="1" ht="15" customHeight="1">
      <c r="B65" s="593"/>
      <c r="C65" s="133"/>
      <c r="D65" s="133"/>
      <c r="E65" s="133"/>
      <c r="F65" s="133"/>
      <c r="G65" s="463"/>
      <c r="H65" s="463"/>
      <c r="I65" s="825"/>
      <c r="J65" s="127"/>
      <c r="K65" s="113"/>
      <c r="L65" s="113"/>
      <c r="M65" s="113"/>
      <c r="N65" s="113"/>
    </row>
    <row r="66" spans="2:15" s="453" customFormat="1" ht="15" customHeight="1">
      <c r="B66" s="116" t="s">
        <v>515</v>
      </c>
      <c r="C66" s="444">
        <f>C46+C54+C64</f>
        <v>3915.7192846713597</v>
      </c>
      <c r="D66" s="444">
        <f>D46+D54+D64</f>
        <v>206.16342305020942</v>
      </c>
      <c r="E66" s="444">
        <f>E46+E54+E64</f>
        <v>450.99219296194997</v>
      </c>
      <c r="F66" s="444">
        <f>F46+F54+F64</f>
        <v>1541.9603995772629</v>
      </c>
      <c r="G66" s="447" t="s">
        <v>4</v>
      </c>
      <c r="H66" s="446">
        <f>SUM(C66:F66)</f>
        <v>6114.8353002607819</v>
      </c>
      <c r="I66" s="476"/>
      <c r="J66" s="476"/>
      <c r="K66" s="478"/>
      <c r="L66" s="478"/>
      <c r="M66" s="478"/>
      <c r="N66" s="478"/>
      <c r="O66" s="475"/>
    </row>
    <row r="67" spans="2:15" ht="15" customHeight="1">
      <c r="B67" s="114"/>
      <c r="C67" s="133"/>
      <c r="D67" s="133"/>
      <c r="E67" s="133"/>
      <c r="F67" s="133"/>
      <c r="G67" s="463"/>
      <c r="H67" s="463"/>
      <c r="I67" s="112"/>
      <c r="J67" s="112"/>
      <c r="K67" s="113"/>
      <c r="L67" s="113"/>
      <c r="M67" s="113"/>
      <c r="N67" s="113"/>
      <c r="O67" s="109"/>
    </row>
    <row r="68" spans="2:15">
      <c r="B68" s="1032"/>
      <c r="C68" s="1033"/>
      <c r="D68" s="1033"/>
      <c r="E68" s="1033"/>
      <c r="F68" s="1033"/>
      <c r="G68" s="1033"/>
      <c r="H68" s="1033"/>
    </row>
    <row r="69" spans="2:15">
      <c r="B69" s="916"/>
      <c r="C69" s="916"/>
      <c r="D69" s="916"/>
      <c r="E69" s="916"/>
      <c r="F69" s="916"/>
      <c r="G69" s="916"/>
      <c r="H69" s="916"/>
    </row>
    <row r="70" spans="2:15">
      <c r="B70" s="116" t="s">
        <v>664</v>
      </c>
      <c r="C70" s="916"/>
      <c r="D70" s="916"/>
      <c r="E70" s="916"/>
      <c r="F70" s="916"/>
      <c r="G70" s="916"/>
      <c r="H70" s="916"/>
    </row>
    <row r="71" spans="2:15">
      <c r="B71" s="985" t="s">
        <v>668</v>
      </c>
      <c r="C71" s="916"/>
      <c r="D71" s="916"/>
      <c r="E71" s="916"/>
      <c r="F71" s="916"/>
      <c r="G71" s="916"/>
      <c r="H71" s="986">
        <f>C46+C64</f>
        <v>1343.2597846713602</v>
      </c>
    </row>
    <row r="72" spans="2:15">
      <c r="B72" s="135" t="s">
        <v>667</v>
      </c>
      <c r="C72" s="916"/>
      <c r="D72" s="916"/>
      <c r="E72" s="916"/>
      <c r="F72" s="916"/>
      <c r="G72" s="916"/>
      <c r="H72" s="986">
        <f>D46+D64</f>
        <v>205.76487714483514</v>
      </c>
    </row>
    <row r="73" spans="2:15" ht="15" customHeight="1">
      <c r="B73" s="985" t="s">
        <v>669</v>
      </c>
      <c r="C73" s="469"/>
      <c r="D73" s="133"/>
      <c r="E73" s="444"/>
      <c r="F73" s="464"/>
      <c r="G73" s="442"/>
      <c r="H73" s="463">
        <f>F46+F64</f>
        <v>1006.7086426853713</v>
      </c>
      <c r="I73" s="112"/>
      <c r="J73" s="113"/>
      <c r="K73" s="113"/>
      <c r="L73" s="113"/>
      <c r="M73" s="113"/>
      <c r="N73" s="109"/>
    </row>
    <row r="74" spans="2:15" ht="15" customHeight="1">
      <c r="B74" s="831" t="s">
        <v>666</v>
      </c>
      <c r="C74" s="469"/>
      <c r="D74" s="469"/>
      <c r="E74" s="592"/>
      <c r="F74" s="464"/>
      <c r="G74" s="442"/>
      <c r="H74" s="848">
        <f>SUM(H71:H73)</f>
        <v>2555.7333045015666</v>
      </c>
      <c r="I74" s="112"/>
      <c r="J74" s="113"/>
      <c r="K74" s="113"/>
      <c r="L74" s="113"/>
      <c r="M74" s="113"/>
      <c r="N74" s="109"/>
    </row>
    <row r="75" spans="2:15" ht="15" customHeight="1">
      <c r="B75" s="985" t="s">
        <v>680</v>
      </c>
      <c r="C75" s="469"/>
      <c r="D75" s="469"/>
      <c r="E75" s="469"/>
      <c r="F75" s="132"/>
      <c r="G75" s="442"/>
      <c r="H75" s="463">
        <f>C54</f>
        <v>2572.4594999999999</v>
      </c>
      <c r="I75" s="112"/>
      <c r="J75" s="113"/>
      <c r="K75" s="113"/>
      <c r="L75" s="113"/>
      <c r="M75" s="113"/>
      <c r="N75" s="109"/>
    </row>
    <row r="76" spans="2:15" ht="15" customHeight="1">
      <c r="B76" s="985" t="s">
        <v>445</v>
      </c>
      <c r="C76" s="469"/>
      <c r="D76" s="469"/>
      <c r="E76" s="469"/>
      <c r="F76" s="132"/>
      <c r="G76" s="442"/>
      <c r="H76" s="463">
        <f>D54</f>
        <v>0.39854590537428108</v>
      </c>
      <c r="I76" s="112"/>
      <c r="J76" s="113"/>
      <c r="K76" s="113"/>
      <c r="L76" s="113"/>
      <c r="M76" s="113"/>
      <c r="N76" s="109"/>
    </row>
    <row r="77" spans="2:15" ht="15" customHeight="1">
      <c r="B77" s="985" t="s">
        <v>670</v>
      </c>
      <c r="C77" s="469"/>
      <c r="D77" s="444"/>
      <c r="E77" s="469"/>
      <c r="F77" s="132"/>
      <c r="G77" s="132"/>
      <c r="H77" s="463">
        <f>F54</f>
        <v>535.25175689189177</v>
      </c>
      <c r="I77" s="112"/>
      <c r="J77" s="113"/>
      <c r="K77" s="113"/>
      <c r="L77" s="113"/>
      <c r="M77" s="113"/>
      <c r="N77" s="109"/>
    </row>
    <row r="78" spans="2:15" ht="15" customHeight="1">
      <c r="B78" s="831" t="s">
        <v>671</v>
      </c>
      <c r="C78" s="43"/>
      <c r="D78" s="43"/>
      <c r="E78" s="832"/>
      <c r="F78" s="43"/>
      <c r="G78" s="43"/>
      <c r="H78" s="598">
        <f>SUM(H75:H77)</f>
        <v>3108.1098027972657</v>
      </c>
      <c r="I78" s="112"/>
      <c r="J78" s="113"/>
      <c r="K78" s="113"/>
      <c r="L78" s="113"/>
      <c r="M78" s="113"/>
      <c r="N78" s="109"/>
    </row>
    <row r="79" spans="2:15" ht="15" customHeight="1">
      <c r="B79" s="833" t="s">
        <v>513</v>
      </c>
      <c r="C79" s="919"/>
      <c r="D79" s="919"/>
      <c r="E79" s="987"/>
      <c r="F79" s="988"/>
      <c r="G79" s="919"/>
      <c r="H79" s="818">
        <f>H74+H78</f>
        <v>5663.8431072988324</v>
      </c>
      <c r="I79" s="112"/>
      <c r="J79" s="113"/>
      <c r="K79" s="113"/>
      <c r="L79" s="113"/>
      <c r="M79" s="113"/>
      <c r="N79" s="109"/>
    </row>
    <row r="80" spans="2:15" ht="15" customHeight="1">
      <c r="B80" s="985" t="s">
        <v>672</v>
      </c>
      <c r="C80" s="135"/>
      <c r="D80" s="135"/>
      <c r="E80" s="472"/>
      <c r="F80" s="135"/>
      <c r="G80" s="135"/>
      <c r="H80" s="989">
        <f>E46+E64</f>
        <v>448.78693728013178</v>
      </c>
      <c r="I80" s="112"/>
      <c r="J80" s="113"/>
      <c r="K80" s="113"/>
      <c r="L80" s="113"/>
      <c r="M80" s="113"/>
      <c r="N80" s="109"/>
    </row>
    <row r="81" spans="2:14" ht="15" customHeight="1">
      <c r="B81" s="985" t="s">
        <v>673</v>
      </c>
      <c r="C81" s="135"/>
      <c r="D81" s="135"/>
      <c r="E81" s="472"/>
      <c r="F81" s="135"/>
      <c r="G81" s="135"/>
      <c r="H81" s="990">
        <f>E54</f>
        <v>2.2052556818181817</v>
      </c>
      <c r="I81" s="112"/>
      <c r="J81" s="113"/>
      <c r="K81" s="113"/>
      <c r="L81" s="113"/>
      <c r="M81" s="113"/>
      <c r="N81" s="109"/>
    </row>
    <row r="82" spans="2:14" ht="15" customHeight="1">
      <c r="B82" s="837" t="s">
        <v>514</v>
      </c>
      <c r="C82" s="919"/>
      <c r="D82" s="919"/>
      <c r="E82" s="987"/>
      <c r="F82" s="988"/>
      <c r="G82" s="919"/>
      <c r="H82" s="819">
        <f>H80+H81</f>
        <v>450.99219296194997</v>
      </c>
      <c r="I82" s="112"/>
      <c r="J82" s="113"/>
      <c r="K82" s="113"/>
      <c r="L82" s="113"/>
      <c r="M82" s="113"/>
      <c r="N82" s="109"/>
    </row>
    <row r="83" spans="2:14" ht="15" customHeight="1">
      <c r="B83" s="916"/>
      <c r="C83" s="469"/>
      <c r="D83" s="444"/>
      <c r="E83" s="469"/>
      <c r="F83" s="132"/>
      <c r="G83" s="132"/>
      <c r="H83" s="442"/>
      <c r="I83" s="112"/>
      <c r="J83" s="113"/>
      <c r="K83" s="113"/>
      <c r="L83" s="113"/>
      <c r="M83" s="113"/>
      <c r="N83" s="109"/>
    </row>
    <row r="84" spans="2:14">
      <c r="B84" s="132"/>
      <c r="C84" s="469"/>
      <c r="D84" s="469"/>
      <c r="E84" s="469"/>
      <c r="F84" s="132"/>
      <c r="G84" s="442"/>
      <c r="H84" s="442"/>
      <c r="I84" s="112"/>
      <c r="J84" s="111"/>
      <c r="K84" s="111"/>
      <c r="L84" s="111"/>
      <c r="M84" s="111"/>
      <c r="N84" s="109"/>
    </row>
    <row r="85" spans="2:14">
      <c r="B85" s="132"/>
      <c r="C85" s="132"/>
      <c r="D85" s="132"/>
      <c r="E85" s="132"/>
      <c r="F85" s="132"/>
      <c r="G85" s="442"/>
      <c r="H85" s="442"/>
      <c r="I85" s="112"/>
      <c r="J85" s="111"/>
      <c r="K85" s="111"/>
      <c r="L85" s="111"/>
      <c r="M85" s="111"/>
      <c r="N85" s="109"/>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79"/>
  <sheetViews>
    <sheetView showGridLines="0" view="pageLayout" topLeftCell="A28" workbookViewId="0">
      <selection activeCell="B43" sqref="B43"/>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Index'!B39</f>
        <v>Greens, Salad</v>
      </c>
      <c r="C2" s="44" t="s">
        <v>921</v>
      </c>
      <c r="D2" s="221"/>
      <c r="E2" s="221"/>
      <c r="I2" s="120"/>
      <c r="J2" s="120"/>
      <c r="K2" s="120"/>
      <c r="L2" s="109"/>
      <c r="M2" s="109"/>
      <c r="N2" s="109"/>
    </row>
    <row r="3" spans="2:19" ht="33.5"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7">
        <f>'BW1-Bed and Row Spacing'!J21</f>
        <v>6701.5384615384619</v>
      </c>
      <c r="F4" s="135"/>
      <c r="G4" s="135"/>
      <c r="H4" s="135"/>
      <c r="I4" s="226"/>
      <c r="J4" s="226"/>
      <c r="K4" s="226"/>
      <c r="L4" s="109"/>
      <c r="M4" s="110"/>
      <c r="N4" s="111"/>
      <c r="O4" s="112"/>
      <c r="P4" s="112"/>
      <c r="Q4" s="112"/>
      <c r="R4" s="112"/>
      <c r="S4" s="112"/>
    </row>
    <row r="5" spans="2:19">
      <c r="B5" s="915"/>
      <c r="C5" s="132" t="s">
        <v>366</v>
      </c>
      <c r="D5" s="916"/>
      <c r="E5" s="1338" t="s">
        <v>821</v>
      </c>
      <c r="F5" s="1338"/>
      <c r="G5" s="1338"/>
      <c r="H5" s="1338"/>
      <c r="I5" s="225"/>
      <c r="J5" s="225"/>
      <c r="K5" s="225"/>
      <c r="L5" s="127"/>
      <c r="M5" s="110"/>
      <c r="N5" s="111"/>
      <c r="O5" s="112"/>
      <c r="P5" s="112"/>
      <c r="Q5" s="112"/>
      <c r="R5" s="112"/>
      <c r="S5" s="112"/>
    </row>
    <row r="6" spans="2:19">
      <c r="B6" s="223"/>
      <c r="C6" s="915"/>
      <c r="D6" s="916"/>
      <c r="E6" s="1338"/>
      <c r="F6" s="1338"/>
      <c r="G6" s="1338"/>
      <c r="H6" s="1338"/>
      <c r="I6" s="225"/>
      <c r="J6" s="225"/>
      <c r="K6" s="225"/>
      <c r="L6" s="112"/>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c r="B11" s="921" t="s">
        <v>298</v>
      </c>
      <c r="C11" s="511"/>
      <c r="D11" s="519"/>
      <c r="E11" s="519"/>
      <c r="F11" s="525"/>
      <c r="G11" s="1335" t="s">
        <v>705</v>
      </c>
      <c r="H11" s="1335"/>
      <c r="I11" s="121"/>
      <c r="J11" s="110"/>
      <c r="K11" s="121"/>
      <c r="L11" s="112"/>
      <c r="M11" s="112"/>
      <c r="N11" s="112"/>
      <c r="O11" s="112"/>
      <c r="P11" s="112"/>
    </row>
    <row r="12" spans="2:19">
      <c r="B12" s="265" t="s">
        <v>145</v>
      </c>
      <c r="C12" s="512">
        <f>('BW2-Field Act. Labor &amp; Mach.'!$I$9)/2</f>
        <v>4.617235</v>
      </c>
      <c r="D12" s="520">
        <f>('BW2-Field Act. Labor &amp; Mach.'!K9)/2</f>
        <v>3.5813406372812948</v>
      </c>
      <c r="E12" s="520">
        <f>('BW2-Field Act. Labor &amp; Mach.'!L9)/2</f>
        <v>3.2848834445648656</v>
      </c>
      <c r="F12" s="526"/>
      <c r="G12" s="1336"/>
      <c r="H12" s="1336"/>
      <c r="I12" s="121"/>
      <c r="J12" s="110"/>
      <c r="K12" s="121"/>
      <c r="L12" s="112"/>
      <c r="M12" s="112"/>
      <c r="N12" s="112"/>
      <c r="O12" s="112"/>
      <c r="P12" s="112"/>
    </row>
    <row r="13" spans="2:19">
      <c r="B13" s="462" t="s">
        <v>45</v>
      </c>
      <c r="C13" s="512">
        <f>('BW2-Field Act. Labor &amp; Mach.'!$I$69)/2</f>
        <v>7.2556550000000009</v>
      </c>
      <c r="D13" s="520">
        <f>('BW2-Field Act. Labor &amp; Mach.'!K69)/2</f>
        <v>2.9523363870071488</v>
      </c>
      <c r="E13" s="520">
        <f>('BW2-Field Act. Labor &amp; Mach.'!L69)/2</f>
        <v>4.020790543150059</v>
      </c>
      <c r="F13" s="526"/>
      <c r="G13" s="1336"/>
      <c r="H13" s="1336"/>
      <c r="I13" s="121"/>
      <c r="J13" s="110"/>
      <c r="K13" s="121"/>
      <c r="L13" s="112"/>
      <c r="M13" s="112"/>
      <c r="N13" s="112"/>
      <c r="O13" s="112"/>
      <c r="P13" s="112"/>
    </row>
    <row r="14" spans="2:19">
      <c r="B14" s="500" t="str">
        <f>'BW3-Variable Input'!$B$34</f>
        <v>Summer cover crop seed</v>
      </c>
      <c r="C14" s="513"/>
      <c r="D14" s="521"/>
      <c r="E14" s="521"/>
      <c r="F14" s="527">
        <f>('BW3-Variable Input'!$C$34)/2</f>
        <v>16.173333333333336</v>
      </c>
      <c r="G14" s="1337"/>
      <c r="H14" s="1337"/>
      <c r="I14" s="121"/>
      <c r="J14" s="110"/>
      <c r="K14" s="121"/>
      <c r="L14" s="112"/>
      <c r="M14" s="112"/>
      <c r="N14" s="112"/>
      <c r="O14" s="112"/>
      <c r="P14" s="112"/>
    </row>
    <row r="15" spans="2:19">
      <c r="B15" s="264"/>
      <c r="C15" s="456"/>
      <c r="D15" s="456"/>
      <c r="E15" s="456"/>
      <c r="F15" s="456"/>
      <c r="G15" s="455"/>
      <c r="H15" s="464"/>
      <c r="I15" s="121"/>
      <c r="J15" s="110"/>
      <c r="K15" s="121"/>
      <c r="L15" s="112"/>
      <c r="M15" s="112"/>
      <c r="N15" s="112"/>
      <c r="O15" s="112"/>
      <c r="P15" s="112"/>
    </row>
    <row r="16" spans="2:19" ht="16" customHeight="1">
      <c r="B16" s="922" t="s">
        <v>181</v>
      </c>
      <c r="C16" s="514"/>
      <c r="D16" s="522"/>
      <c r="E16" s="522"/>
      <c r="F16" s="528"/>
      <c r="G16" s="509"/>
      <c r="H16" s="509"/>
      <c r="I16" s="110"/>
      <c r="J16" s="118"/>
      <c r="K16" s="112"/>
      <c r="L16" s="112"/>
      <c r="M16" s="112"/>
      <c r="N16" s="112"/>
      <c r="O16" s="112"/>
    </row>
    <row r="17" spans="2:15" ht="15" customHeight="1">
      <c r="B17" s="265" t="s">
        <v>145</v>
      </c>
      <c r="C17" s="512">
        <f>'BW2-Field Act. Labor &amp; Mach.'!I9</f>
        <v>9.23447</v>
      </c>
      <c r="D17" s="520">
        <f>'BW2-Field Act. Labor &amp; Mach.'!K9</f>
        <v>7.1626812745625896</v>
      </c>
      <c r="E17" s="520">
        <f>'BW2-Field Act. Labor &amp; Mach.'!L9</f>
        <v>6.5697668891297312</v>
      </c>
      <c r="F17" s="526"/>
      <c r="G17" s="465"/>
      <c r="H17" s="465"/>
      <c r="I17" s="5"/>
      <c r="J17" s="112"/>
      <c r="K17" s="118"/>
      <c r="L17" s="118"/>
      <c r="M17" s="112"/>
      <c r="N17" s="112"/>
      <c r="O17" s="112"/>
    </row>
    <row r="18" spans="2:15" ht="15" customHeight="1">
      <c r="B18" s="132" t="s">
        <v>46</v>
      </c>
      <c r="C18" s="512">
        <f>'BW2-Field Act. Labor &amp; Mach.'!I10</f>
        <v>11.87289</v>
      </c>
      <c r="D18" s="520">
        <f>'BW2-Field Act. Labor &amp; Mach.'!K10</f>
        <v>16.900081383311999</v>
      </c>
      <c r="E18" s="520">
        <f>'BW2-Field Act. Labor &amp; Mach.'!L10</f>
        <v>23.703168100043012</v>
      </c>
      <c r="F18" s="526"/>
      <c r="G18" s="133"/>
      <c r="H18" s="465"/>
      <c r="I18" s="5"/>
      <c r="J18" s="112"/>
      <c r="K18" s="112"/>
      <c r="L18" s="112"/>
      <c r="M18" s="118"/>
      <c r="N18" s="112"/>
      <c r="O18" s="112"/>
    </row>
    <row r="19" spans="2:15" ht="15" customHeight="1">
      <c r="B19" s="151" t="s">
        <v>69</v>
      </c>
      <c r="C19" s="512"/>
      <c r="D19" s="520"/>
      <c r="E19" s="520"/>
      <c r="F19" s="526">
        <f>'BW3-Variable Input'!C9</f>
        <v>116.66666666666667</v>
      </c>
      <c r="G19" s="133"/>
      <c r="H19" s="465"/>
      <c r="I19" s="5"/>
      <c r="J19" s="112"/>
      <c r="K19" s="112"/>
      <c r="L19" s="112"/>
      <c r="M19" s="118"/>
      <c r="N19" s="112"/>
      <c r="O19" s="112"/>
    </row>
    <row r="20" spans="2:15" ht="15" customHeight="1">
      <c r="B20" s="132" t="s">
        <v>11</v>
      </c>
      <c r="C20" s="512">
        <f>'BW2-Field Act. Labor &amp; Mach.'!I13</f>
        <v>22.426569999999998</v>
      </c>
      <c r="D20" s="520">
        <f>'BW2-Field Act. Labor &amp; Mach.'!K13</f>
        <v>17.993866831056</v>
      </c>
      <c r="E20" s="520">
        <f>'BW2-Field Act. Labor &amp; Mach.'!L13</f>
        <v>44.771770188886023</v>
      </c>
      <c r="F20" s="526"/>
      <c r="G20" s="133"/>
      <c r="H20" s="463"/>
      <c r="I20" s="5"/>
      <c r="J20" s="112"/>
      <c r="K20" s="112"/>
      <c r="L20" s="112"/>
      <c r="M20" s="118"/>
      <c r="N20" s="112"/>
      <c r="O20" s="112"/>
    </row>
    <row r="21" spans="2:15" ht="15" customHeight="1">
      <c r="B21" s="132" t="s">
        <v>12</v>
      </c>
      <c r="C21" s="512">
        <f>'BW2-Field Act. Labor &amp; Mach.'!I14</f>
        <v>10.55368</v>
      </c>
      <c r="D21" s="520">
        <f>'BW2-Field Act. Labor &amp; Mach.'!K14</f>
        <v>9.2140341759999984</v>
      </c>
      <c r="E21" s="520">
        <f>'BW2-Field Act. Labor &amp; Mach.'!L14</f>
        <v>29.935417361494395</v>
      </c>
      <c r="F21" s="526"/>
      <c r="G21" s="133"/>
      <c r="H21" s="463"/>
      <c r="I21" s="5"/>
      <c r="J21" s="112"/>
      <c r="K21" s="112"/>
      <c r="L21" s="112"/>
      <c r="M21" s="112"/>
      <c r="N21" s="112"/>
      <c r="O21" s="112"/>
    </row>
    <row r="22" spans="2:15" ht="15" customHeight="1">
      <c r="B22" s="132" t="s">
        <v>144</v>
      </c>
      <c r="C22" s="512">
        <f>'BW2-Field Act. Labor &amp; Mach.'!I15</f>
        <v>59.364449999999998</v>
      </c>
      <c r="D22" s="520">
        <f>'BW2-Field Act. Labor &amp; Mach.'!K15</f>
        <v>11.732543673988348</v>
      </c>
      <c r="E22" s="520">
        <f>'BW2-Field Act. Labor &amp; Mach.'!L15</f>
        <v>19.938595491388046</v>
      </c>
      <c r="F22" s="526"/>
      <c r="G22" s="265"/>
      <c r="H22" s="463"/>
      <c r="I22" s="5"/>
      <c r="J22" s="112"/>
      <c r="K22" s="112"/>
      <c r="L22" s="112"/>
      <c r="M22" s="112"/>
      <c r="N22" s="112"/>
      <c r="O22" s="112"/>
    </row>
    <row r="23" spans="2:15" ht="15" customHeight="1">
      <c r="B23" s="151" t="s">
        <v>313</v>
      </c>
      <c r="C23" s="512"/>
      <c r="D23" s="520"/>
      <c r="E23" s="520"/>
      <c r="F23" s="526">
        <f>'BW3-Variable Input'!C23</f>
        <v>125.09538461538463</v>
      </c>
      <c r="G23" s="133"/>
      <c r="H23" s="463"/>
      <c r="I23" s="5"/>
      <c r="J23" s="112"/>
      <c r="K23" s="112"/>
      <c r="L23" s="112"/>
      <c r="M23" s="112"/>
      <c r="N23" s="112"/>
      <c r="O23" s="112"/>
    </row>
    <row r="24" spans="2:15" ht="15" customHeight="1">
      <c r="B24" s="416" t="s">
        <v>192</v>
      </c>
      <c r="C24" s="513">
        <f>'BW2-Field Act. Labor &amp; Mach.'!I16*2</f>
        <v>21.10736</v>
      </c>
      <c r="D24" s="521">
        <f>'BW2-Field Act. Labor &amp; Mach.'!K16*2</f>
        <v>12.051200395575469</v>
      </c>
      <c r="E24" s="521">
        <f>'BW2-Field Act. Labor &amp; Mach.'!L16*2</f>
        <v>17.332156747393537</v>
      </c>
      <c r="F24" s="527"/>
      <c r="G24" s="486"/>
      <c r="H24" s="485"/>
      <c r="I24" s="5"/>
      <c r="J24" s="112"/>
      <c r="K24" s="112"/>
      <c r="L24" s="112"/>
      <c r="M24" s="112"/>
      <c r="N24" s="112"/>
      <c r="O24" s="112"/>
    </row>
    <row r="25" spans="2:15" ht="15" customHeight="1">
      <c r="B25" s="132"/>
      <c r="C25" s="133"/>
      <c r="D25" s="133"/>
      <c r="E25" s="133"/>
      <c r="F25" s="133"/>
      <c r="G25" s="133"/>
      <c r="H25" s="466"/>
      <c r="I25" s="5"/>
      <c r="J25" s="112"/>
      <c r="K25" s="112"/>
      <c r="L25" s="112"/>
      <c r="M25" s="112"/>
      <c r="N25" s="112"/>
      <c r="O25" s="112"/>
    </row>
    <row r="26" spans="2:15" ht="15" customHeight="1">
      <c r="B26" s="921" t="s">
        <v>10</v>
      </c>
      <c r="C26" s="515"/>
      <c r="D26" s="438"/>
      <c r="E26" s="438"/>
      <c r="F26" s="529"/>
      <c r="G26" s="422"/>
      <c r="H26" s="494"/>
      <c r="I26" s="5"/>
      <c r="J26" s="112"/>
      <c r="K26" s="112"/>
      <c r="L26" s="112"/>
      <c r="M26" s="112"/>
      <c r="N26" s="112"/>
      <c r="O26" s="112"/>
    </row>
    <row r="27" spans="2:15" ht="15" customHeight="1">
      <c r="B27" s="473" t="s">
        <v>321</v>
      </c>
      <c r="C27" s="516">
        <f>'BW2-Field Act. Labor &amp; Mach.'!I20</f>
        <v>52.7684</v>
      </c>
      <c r="D27" s="520">
        <f>'BW2-Field Act. Labor &amp; Mach.'!K20</f>
        <v>17.196459355934465</v>
      </c>
      <c r="E27" s="520">
        <f>'BW2-Field Act. Labor &amp; Mach.'!L20</f>
        <v>40.179586989352146</v>
      </c>
      <c r="F27" s="526"/>
      <c r="G27" s="265"/>
      <c r="H27" s="463"/>
      <c r="I27" s="110"/>
      <c r="J27" s="112"/>
      <c r="K27" s="112"/>
      <c r="L27" s="112"/>
      <c r="M27" s="112"/>
      <c r="N27" s="112"/>
      <c r="O27" s="112"/>
    </row>
    <row r="28" spans="2:15" ht="15" customHeight="1">
      <c r="B28" s="151" t="s">
        <v>315</v>
      </c>
      <c r="C28" s="516"/>
      <c r="D28" s="520"/>
      <c r="E28" s="520"/>
      <c r="F28" s="526">
        <f>'BW3-Variable Input'!C10</f>
        <v>124</v>
      </c>
      <c r="G28" s="133"/>
      <c r="H28" s="463"/>
      <c r="I28" s="110"/>
      <c r="J28" s="112"/>
      <c r="K28" s="112"/>
      <c r="L28" s="112"/>
      <c r="M28" s="112"/>
      <c r="N28" s="112"/>
      <c r="O28" s="112"/>
    </row>
    <row r="29" spans="2:15" ht="15" customHeight="1">
      <c r="B29" s="418" t="s">
        <v>65</v>
      </c>
      <c r="C29" s="513"/>
      <c r="D29" s="521"/>
      <c r="E29" s="521"/>
      <c r="F29" s="527">
        <f>'BW3-Variable Input'!C46</f>
        <v>73.716923076923081</v>
      </c>
      <c r="G29" s="486"/>
      <c r="H29" s="485"/>
      <c r="I29" s="110"/>
      <c r="J29" s="112"/>
      <c r="K29" s="112"/>
      <c r="L29" s="112"/>
      <c r="M29" s="112"/>
      <c r="N29" s="112"/>
      <c r="O29" s="112"/>
    </row>
    <row r="30" spans="2:15" ht="15" customHeight="1">
      <c r="B30" s="132"/>
      <c r="C30" s="133"/>
      <c r="D30" s="133"/>
      <c r="E30" s="133"/>
      <c r="F30" s="133"/>
      <c r="G30" s="133"/>
      <c r="H30" s="466"/>
      <c r="I30" s="110"/>
      <c r="J30" s="112"/>
      <c r="K30" s="112"/>
      <c r="L30" s="112"/>
      <c r="M30" s="112"/>
      <c r="N30" s="112"/>
      <c r="O30" s="112"/>
    </row>
    <row r="31" spans="2:15" ht="15" customHeight="1">
      <c r="B31" s="921" t="s">
        <v>37</v>
      </c>
      <c r="C31" s="515"/>
      <c r="D31" s="438"/>
      <c r="E31" s="438"/>
      <c r="F31" s="529"/>
      <c r="G31" s="422"/>
      <c r="H31" s="494"/>
      <c r="I31" s="110"/>
      <c r="J31" s="112"/>
      <c r="K31" s="112"/>
      <c r="L31" s="112"/>
      <c r="M31" s="112"/>
      <c r="N31" s="112"/>
      <c r="O31" s="112"/>
    </row>
    <row r="32" spans="2:15" ht="15" customHeight="1">
      <c r="B32" s="462" t="s">
        <v>179</v>
      </c>
      <c r="C32" s="512">
        <f>'BW2-Field Act. Labor &amp; Mach.'!$I$31*2</f>
        <v>10.55368</v>
      </c>
      <c r="D32" s="520">
        <f>'BW2-Field Act. Labor &amp; Mach.'!K31*2</f>
        <v>1.6570295666513035</v>
      </c>
      <c r="E32" s="520">
        <f>'BW2-Field Act. Labor &amp; Mach.'!L31*2</f>
        <v>27.363002680965153</v>
      </c>
      <c r="F32" s="526"/>
      <c r="G32" s="133"/>
      <c r="H32" s="133"/>
      <c r="I32" s="110"/>
      <c r="J32" s="112"/>
      <c r="K32" s="118"/>
      <c r="L32" s="112"/>
      <c r="M32" s="112"/>
      <c r="N32" s="112"/>
      <c r="O32" s="112"/>
    </row>
    <row r="33" spans="2:19" ht="15" customHeight="1">
      <c r="B33" s="151" t="str">
        <f>'BW5-Irrigation'!$B$8</f>
        <v>Irrigation supply cost</v>
      </c>
      <c r="C33" s="512"/>
      <c r="D33" s="520"/>
      <c r="E33" s="520"/>
      <c r="F33" s="526">
        <f>'BW5-Irrigation'!$E$8</f>
        <v>32.773534158149545</v>
      </c>
      <c r="G33" s="1029" t="s">
        <v>851</v>
      </c>
      <c r="H33" s="133"/>
      <c r="I33" s="110"/>
      <c r="J33" s="112"/>
      <c r="K33" s="118"/>
      <c r="L33" s="112"/>
      <c r="M33" s="112"/>
      <c r="N33" s="112"/>
      <c r="O33" s="112"/>
    </row>
    <row r="34" spans="2:19" ht="15" customHeight="1">
      <c r="B34" s="132" t="str">
        <f>'BW5-Irrigation'!$B$9</f>
        <v>Irrigation set-up labor cost</v>
      </c>
      <c r="C34" s="512">
        <f>'BW5-Irrigation'!$E$9</f>
        <v>50.735370890410955</v>
      </c>
      <c r="D34" s="520"/>
      <c r="E34" s="520"/>
      <c r="F34" s="526"/>
      <c r="G34" s="1029" t="s">
        <v>851</v>
      </c>
      <c r="H34" s="133"/>
      <c r="I34" s="110"/>
      <c r="J34" s="112"/>
      <c r="K34" s="118"/>
      <c r="L34" s="112"/>
      <c r="M34" s="112"/>
      <c r="N34" s="112"/>
      <c r="O34" s="112"/>
    </row>
    <row r="35" spans="2:19" ht="15" customHeight="1">
      <c r="B35" s="132" t="s">
        <v>184</v>
      </c>
      <c r="C35" s="512">
        <f>'BW2-Field Act. Labor &amp; Mach.'!I39*'BW5-Irrigation'!C26</f>
        <v>126.64416</v>
      </c>
      <c r="D35" s="520"/>
      <c r="E35" s="520"/>
      <c r="F35" s="526"/>
      <c r="G35" s="133"/>
      <c r="H35" s="463"/>
      <c r="I35" s="115"/>
      <c r="J35" s="118"/>
      <c r="K35" s="118"/>
      <c r="L35" s="118"/>
      <c r="M35" s="112"/>
      <c r="N35" s="112"/>
      <c r="O35" s="112"/>
    </row>
    <row r="36" spans="2:19" ht="15" customHeight="1">
      <c r="B36" s="462" t="s">
        <v>230</v>
      </c>
      <c r="C36" s="517">
        <v>6.6</v>
      </c>
      <c r="D36" s="523">
        <f>'BW2-Field Act. Labor &amp; Mach.'!K32</f>
        <v>0.70423756582680397</v>
      </c>
      <c r="E36" s="523">
        <f>'BW2-Field Act. Labor &amp; Mach.'!L32</f>
        <v>11.629276139410191</v>
      </c>
      <c r="F36" s="530"/>
      <c r="G36" s="133"/>
      <c r="H36" s="133"/>
      <c r="I36" s="110"/>
      <c r="J36" s="112"/>
      <c r="K36" s="118"/>
      <c r="L36" s="112"/>
      <c r="M36" s="112"/>
      <c r="N36" s="112"/>
      <c r="O36" s="112"/>
    </row>
    <row r="37" spans="2:19" ht="15" customHeight="1">
      <c r="B37" s="482" t="s">
        <v>308</v>
      </c>
      <c r="C37" s="517"/>
      <c r="D37" s="523"/>
      <c r="E37" s="523"/>
      <c r="F37" s="530">
        <v>8.8000000000000007</v>
      </c>
      <c r="G37" s="133"/>
      <c r="H37" s="133"/>
      <c r="I37" s="110"/>
      <c r="J37" s="112"/>
      <c r="K37" s="118"/>
      <c r="L37" s="112"/>
      <c r="M37" s="112"/>
      <c r="N37" s="112"/>
      <c r="O37" s="112"/>
    </row>
    <row r="38" spans="2:19" ht="15" customHeight="1">
      <c r="B38" s="462" t="s">
        <v>201</v>
      </c>
      <c r="C38" s="512">
        <f>'BW2-Field Act. Labor &amp; Mach.'!$I$28*3</f>
        <v>31.66104</v>
      </c>
      <c r="D38" s="520">
        <f>'BW2-Field Act. Labor &amp; Mach.'!K28*3</f>
        <v>13.069827471322013</v>
      </c>
      <c r="E38" s="520">
        <f>'BW2-Field Act. Labor &amp; Mach.'!L28*3</f>
        <v>34.652202498356345</v>
      </c>
      <c r="F38" s="526"/>
      <c r="G38" s="133"/>
      <c r="H38" s="463"/>
      <c r="I38" s="115"/>
      <c r="J38" s="112"/>
      <c r="K38" s="118"/>
      <c r="L38" s="112"/>
      <c r="M38" s="112"/>
      <c r="N38" s="112"/>
      <c r="O38" s="112"/>
    </row>
    <row r="39" spans="2:19" ht="15" customHeight="1">
      <c r="B39" s="462" t="str">
        <f>'BW2-Field Act. Labor &amp; Mach.'!$B$34</f>
        <v>Scuffle hoe</v>
      </c>
      <c r="C39" s="512">
        <f>'BW2-Field Act. Labor &amp; Mach.'!$I$34</f>
        <v>98.940749999999994</v>
      </c>
      <c r="D39" s="520"/>
      <c r="E39" s="520"/>
      <c r="F39" s="526"/>
      <c r="G39" s="473"/>
      <c r="H39" s="479"/>
      <c r="I39" s="480"/>
      <c r="J39" s="228"/>
      <c r="K39"/>
      <c r="L39"/>
      <c r="M39"/>
      <c r="N39"/>
      <c r="O39"/>
      <c r="P39"/>
      <c r="Q39"/>
      <c r="R39"/>
      <c r="S39"/>
    </row>
    <row r="40" spans="2:19" ht="15" customHeight="1">
      <c r="B40" s="493" t="s">
        <v>180</v>
      </c>
      <c r="C40" s="513">
        <f>'BW2-Field Act. Labor &amp; Mach.'!$I$29*2</f>
        <v>63.32208</v>
      </c>
      <c r="D40" s="521">
        <f>'BW2-Field Act. Labor &amp; Mach.'!K29*2</f>
        <v>18.849340278005133</v>
      </c>
      <c r="E40" s="521">
        <f>'BW2-Field Act. Labor &amp; Mach.'!L29*2</f>
        <v>51.654848024316109</v>
      </c>
      <c r="F40" s="527"/>
      <c r="G40" s="486"/>
      <c r="H40" s="485"/>
      <c r="I40" s="115"/>
      <c r="J40" s="112"/>
      <c r="K40" s="118"/>
      <c r="L40" s="112"/>
      <c r="M40" s="112"/>
      <c r="N40" s="112"/>
      <c r="O40" s="112"/>
    </row>
    <row r="41" spans="2:19" s="453" customFormat="1" ht="15" customHeight="1">
      <c r="B41" s="824" t="s">
        <v>508</v>
      </c>
      <c r="C41" s="444">
        <f>SUM(C12:C14, C17:C24, C27:C29,C32:C40)</f>
        <v>587.65779089041098</v>
      </c>
      <c r="D41" s="444">
        <f>SUM(D12:D14, D17:D24, D27:D29,D32:D40)</f>
        <v>133.06497899652257</v>
      </c>
      <c r="E41" s="444">
        <f>SUM(E12:E14, E17:E24, E27:E29,E32:E40)</f>
        <v>315.03546509844961</v>
      </c>
      <c r="F41" s="444">
        <f>SUM(F12:F14, F17:F24, F27:F29,F32:F40)</f>
        <v>497.22584185045724</v>
      </c>
      <c r="G41" s="445" t="s">
        <v>4</v>
      </c>
      <c r="H41" s="446">
        <f>SUM(C41:F41)</f>
        <v>1532.9840768358404</v>
      </c>
      <c r="I41" s="117"/>
      <c r="J41" s="476"/>
      <c r="K41" s="476"/>
      <c r="L41" s="477"/>
      <c r="M41" s="477"/>
      <c r="N41" s="477"/>
      <c r="O41" s="477"/>
      <c r="P41" s="475"/>
    </row>
    <row r="42" spans="2:19" s="120" customFormat="1" ht="15" customHeight="1">
      <c r="B42" s="593"/>
      <c r="C42" s="133"/>
      <c r="D42" s="133"/>
      <c r="E42" s="133"/>
      <c r="F42" s="133"/>
      <c r="G42" s="924"/>
      <c r="H42" s="265"/>
    </row>
    <row r="43" spans="2:19" s="119" customFormat="1" ht="15" customHeight="1">
      <c r="B43" s="116" t="s">
        <v>914</v>
      </c>
      <c r="C43" s="133"/>
      <c r="D43" s="133"/>
      <c r="E43" s="133"/>
      <c r="F43" s="133"/>
      <c r="G43" s="924"/>
      <c r="H43" s="265"/>
      <c r="I43" s="120"/>
    </row>
    <row r="44" spans="2:19" ht="15" customHeight="1">
      <c r="B44" s="921" t="s">
        <v>3</v>
      </c>
      <c r="C44" s="514"/>
      <c r="D44" s="522"/>
      <c r="E44" s="522"/>
      <c r="F44" s="528"/>
      <c r="G44" s="983"/>
      <c r="H44" s="491"/>
      <c r="I44" s="109"/>
      <c r="J44" s="118"/>
      <c r="K44" s="112"/>
      <c r="L44" s="111"/>
      <c r="M44" s="111"/>
      <c r="N44" s="111"/>
      <c r="O44" s="111"/>
      <c r="P44" s="109"/>
    </row>
    <row r="45" spans="2:19" ht="15" customHeight="1">
      <c r="B45" s="132" t="s">
        <v>316</v>
      </c>
      <c r="C45" s="512">
        <f>'BW6-Harvest and Wash-Pack'!D21*'BW6-Harvest and Wash-Pack'!G21</f>
        <v>1055.3679999999999</v>
      </c>
      <c r="D45" s="520">
        <f>'BW2-Field Act. Labor &amp; Mach.'!K54*'BW6-Harvest and Wash-Pack'!G21</f>
        <v>0.26569727024952072</v>
      </c>
      <c r="E45" s="520">
        <f>'BW2-Field Act. Labor &amp; Mach.'!L54*'BW6-Harvest and Wash-Pack'!G21</f>
        <v>1.4701704545454544</v>
      </c>
      <c r="F45" s="526"/>
      <c r="G45" s="1029" t="s">
        <v>852</v>
      </c>
      <c r="H45" s="265"/>
      <c r="I45" s="109"/>
      <c r="J45" s="118"/>
      <c r="K45" s="112"/>
      <c r="L45" s="113"/>
      <c r="M45" s="113"/>
      <c r="N45" s="113"/>
      <c r="O45" s="113"/>
      <c r="P45" s="109"/>
    </row>
    <row r="46" spans="2:19" ht="15" customHeight="1">
      <c r="B46" s="132" t="s">
        <v>349</v>
      </c>
      <c r="C46" s="512">
        <f>'BW6-Harvest and Wash-Pack'!F21*'BW6-Harvest and Wash-Pack'!G21</f>
        <v>2110.7359999999999</v>
      </c>
      <c r="D46" s="520"/>
      <c r="E46" s="520"/>
      <c r="F46" s="526"/>
      <c r="G46" s="1029" t="s">
        <v>852</v>
      </c>
      <c r="H46" s="265"/>
      <c r="I46" s="109"/>
      <c r="J46" s="118"/>
      <c r="K46" s="112"/>
      <c r="L46" s="113"/>
      <c r="M46" s="113"/>
      <c r="N46" s="113"/>
      <c r="O46" s="113"/>
      <c r="P46" s="109"/>
    </row>
    <row r="47" spans="2:19" ht="15" customHeight="1">
      <c r="B47" s="151" t="str">
        <f>'BW3-Variable Input'!$B$67</f>
        <v>Sani-Date 5.0 Wash Water Sanitizer</v>
      </c>
      <c r="C47" s="517"/>
      <c r="D47" s="523"/>
      <c r="E47" s="523"/>
      <c r="F47" s="530">
        <f>'BW3-Variable Input'!$H$220*'BW6-Harvest and Wash-Pack'!G21</f>
        <v>182.59459459459458</v>
      </c>
      <c r="G47" s="463"/>
      <c r="H47" s="463"/>
      <c r="I47" s="115"/>
      <c r="J47" s="118"/>
      <c r="K47" s="112"/>
      <c r="L47" s="113"/>
      <c r="M47" s="113"/>
      <c r="N47" s="113"/>
      <c r="O47" s="113"/>
      <c r="P47" s="109"/>
    </row>
    <row r="48" spans="2:19" ht="15" customHeight="1">
      <c r="B48" s="418" t="str">
        <f>'BW3-Variable Input'!$B$68</f>
        <v>Plastic produce bags</v>
      </c>
      <c r="C48" s="1011"/>
      <c r="D48" s="1012"/>
      <c r="E48" s="1012"/>
      <c r="F48" s="527">
        <f>'BW3-Variable Input'!$C$68*'BW6-Harvest and Wash-Pack'!G21</f>
        <v>125.49938949938951</v>
      </c>
      <c r="G48" s="485"/>
      <c r="H48" s="485"/>
      <c r="I48" s="115"/>
      <c r="J48" s="118"/>
      <c r="K48" s="112"/>
      <c r="L48" s="113"/>
      <c r="M48" s="113"/>
      <c r="N48" s="113"/>
      <c r="O48" s="113"/>
      <c r="P48" s="109"/>
    </row>
    <row r="49" spans="2:16" s="453" customFormat="1" ht="15" customHeight="1">
      <c r="B49" s="824" t="s">
        <v>508</v>
      </c>
      <c r="C49" s="444">
        <f>SUM(C45:C48)</f>
        <v>3166.1039999999998</v>
      </c>
      <c r="D49" s="444">
        <f>SUM(D45:D48)</f>
        <v>0.26569727024952072</v>
      </c>
      <c r="E49" s="444">
        <f>SUM(E45:E48)</f>
        <v>1.4701704545454544</v>
      </c>
      <c r="F49" s="444">
        <f>SUM(F45:F48)</f>
        <v>308.09398409398409</v>
      </c>
      <c r="G49" s="445" t="s">
        <v>4</v>
      </c>
      <c r="H49" s="446">
        <f>SUM(C49:F49)</f>
        <v>3475.9338518187787</v>
      </c>
      <c r="I49" s="117"/>
      <c r="J49" s="476"/>
      <c r="K49" s="476"/>
      <c r="L49" s="477"/>
      <c r="M49" s="477"/>
      <c r="N49" s="477"/>
      <c r="O49" s="477"/>
      <c r="P49" s="475"/>
    </row>
    <row r="50" spans="2:16" s="120" customFormat="1" ht="15" customHeight="1">
      <c r="B50" s="593"/>
      <c r="C50" s="133"/>
      <c r="D50" s="133"/>
      <c r="E50" s="133"/>
      <c r="F50" s="133"/>
      <c r="G50" s="924"/>
      <c r="H50" s="265"/>
    </row>
    <row r="51" spans="2:16" s="119" customFormat="1" ht="15" customHeight="1">
      <c r="B51" s="116" t="s">
        <v>662</v>
      </c>
      <c r="C51" s="133"/>
      <c r="D51" s="133"/>
      <c r="E51" s="133"/>
      <c r="F51" s="133"/>
      <c r="G51" s="924"/>
      <c r="H51" s="265"/>
    </row>
    <row r="52" spans="2:16" ht="15" customHeight="1">
      <c r="B52" s="921" t="s">
        <v>663</v>
      </c>
      <c r="C52" s="515"/>
      <c r="D52" s="438"/>
      <c r="E52" s="438"/>
      <c r="F52" s="529"/>
      <c r="G52" s="494"/>
      <c r="H52" s="494"/>
      <c r="I52" s="110"/>
      <c r="J52" s="112"/>
      <c r="K52" s="112"/>
      <c r="L52" s="113"/>
      <c r="M52" s="113"/>
      <c r="N52" s="113"/>
      <c r="O52" s="113"/>
      <c r="P52" s="109"/>
    </row>
    <row r="53" spans="2:16" ht="15" customHeight="1">
      <c r="B53" s="462" t="s">
        <v>43</v>
      </c>
      <c r="C53" s="512">
        <f>'BW2-Field Act. Labor &amp; Mach.'!$I$66</f>
        <v>5.27684</v>
      </c>
      <c r="D53" s="520">
        <f>'BW2-Field Act. Labor &amp; Mach.'!K66</f>
        <v>4.7393418269465482</v>
      </c>
      <c r="E53" s="520">
        <f>'BW2-Field Act. Labor &amp; Mach.'!L66</f>
        <v>4.8215303303156709</v>
      </c>
      <c r="F53" s="526"/>
      <c r="G53" s="463"/>
      <c r="H53" s="463"/>
      <c r="I53" s="110"/>
      <c r="J53" s="118"/>
      <c r="K53" s="112"/>
      <c r="L53" s="113"/>
      <c r="M53" s="113"/>
      <c r="N53" s="113"/>
      <c r="O53" s="113"/>
      <c r="P53" s="109"/>
    </row>
    <row r="54" spans="2:16" ht="15" customHeight="1">
      <c r="B54" s="132" t="s">
        <v>150</v>
      </c>
      <c r="C54" s="512">
        <f>'BW2-Field Act. Labor &amp; Mach.'!$I$65</f>
        <v>42.21472</v>
      </c>
      <c r="D54" s="520">
        <f>'BW2-Field Act. Labor &amp; Mach.'!K65</f>
        <v>3.4075700159999998</v>
      </c>
      <c r="E54" s="520">
        <f>'BW2-Field Act. Labor &amp; Mach.'!L65</f>
        <v>2.89283314099518</v>
      </c>
      <c r="F54" s="526"/>
      <c r="G54" s="463"/>
      <c r="H54" s="463"/>
      <c r="I54" s="115"/>
      <c r="J54" s="118"/>
      <c r="K54" s="112"/>
      <c r="L54" s="113"/>
      <c r="M54" s="113"/>
      <c r="N54" s="113"/>
      <c r="O54" s="113"/>
      <c r="P54" s="109"/>
    </row>
    <row r="55" spans="2:16" ht="15" customHeight="1">
      <c r="B55" s="462" t="s">
        <v>44</v>
      </c>
      <c r="C55" s="512">
        <f>'BW2-Field Act. Labor &amp; Mach.'!$I$67</f>
        <v>5.27684</v>
      </c>
      <c r="D55" s="520">
        <f>'BW2-Field Act. Labor &amp; Mach.'!K67</f>
        <v>4.5754035882945541</v>
      </c>
      <c r="E55" s="520">
        <f>'BW2-Field Act. Labor &amp; Mach.'!L67</f>
        <v>8.7882358546602415</v>
      </c>
      <c r="F55" s="526"/>
      <c r="G55" s="463"/>
      <c r="H55" s="463"/>
      <c r="I55" s="110"/>
      <c r="J55" s="112"/>
      <c r="K55" s="112"/>
      <c r="L55" s="113"/>
      <c r="M55" s="113"/>
      <c r="N55" s="113"/>
      <c r="O55" s="113"/>
      <c r="P55" s="109"/>
    </row>
    <row r="56" spans="2:16" ht="15" customHeight="1">
      <c r="B56" s="462" t="s">
        <v>45</v>
      </c>
      <c r="C56" s="512">
        <f>'BW2-Field Act. Labor &amp; Mach.'!$I$69</f>
        <v>14.511310000000002</v>
      </c>
      <c r="D56" s="520">
        <f>'BW2-Field Act. Labor &amp; Mach.'!K69</f>
        <v>5.9046727740142977</v>
      </c>
      <c r="E56" s="520">
        <f>'BW2-Field Act. Labor &amp; Mach.'!L69</f>
        <v>8.041581086300118</v>
      </c>
      <c r="F56" s="526"/>
      <c r="G56" s="463"/>
      <c r="H56" s="463"/>
      <c r="I56" s="110"/>
      <c r="J56" s="112"/>
      <c r="K56" s="112"/>
      <c r="L56" s="113"/>
      <c r="M56" s="113"/>
      <c r="N56" s="113"/>
      <c r="O56" s="113"/>
      <c r="P56" s="109"/>
    </row>
    <row r="57" spans="2:16" ht="15" customHeight="1">
      <c r="B57" s="500" t="str">
        <f>'BW3-Variable Input'!$B$33</f>
        <v>Winter cover crop seed</v>
      </c>
      <c r="C57" s="513"/>
      <c r="D57" s="521"/>
      <c r="E57" s="521"/>
      <c r="F57" s="527">
        <f>'BW3-Variable Input'!$C$33</f>
        <v>31.793452380952385</v>
      </c>
      <c r="G57" s="485"/>
      <c r="H57" s="485"/>
      <c r="I57" s="115"/>
      <c r="J57" s="118"/>
      <c r="K57" s="112"/>
      <c r="L57" s="113"/>
      <c r="M57" s="113"/>
      <c r="N57" s="113"/>
      <c r="O57" s="113"/>
      <c r="P57" s="109"/>
    </row>
    <row r="58" spans="2:16" s="453" customFormat="1" ht="15" customHeight="1">
      <c r="B58" s="824" t="s">
        <v>508</v>
      </c>
      <c r="C58" s="444">
        <f>SUM(C53:C57)</f>
        <v>67.279709999999994</v>
      </c>
      <c r="D58" s="444">
        <f>SUM(D53:D57)</f>
        <v>18.626988205255401</v>
      </c>
      <c r="E58" s="444">
        <f>SUM(E53:E57)</f>
        <v>24.54418041227121</v>
      </c>
      <c r="F58" s="444">
        <f>SUM(F53:F57)</f>
        <v>31.793452380952385</v>
      </c>
      <c r="G58" s="447" t="s">
        <v>4</v>
      </c>
      <c r="H58" s="446">
        <f>SUM(C58:F58)</f>
        <v>142.24433099847897</v>
      </c>
      <c r="I58" s="117"/>
      <c r="J58" s="476"/>
      <c r="K58" s="476"/>
      <c r="L58" s="478"/>
      <c r="M58" s="478"/>
      <c r="N58" s="478"/>
      <c r="O58" s="478"/>
      <c r="P58" s="475"/>
    </row>
    <row r="59" spans="2:16" s="120" customFormat="1" ht="15" customHeight="1">
      <c r="B59" s="593"/>
      <c r="C59" s="133"/>
      <c r="D59" s="133"/>
      <c r="E59" s="133"/>
      <c r="F59" s="133"/>
      <c r="G59" s="463"/>
      <c r="H59" s="463"/>
      <c r="I59" s="115"/>
      <c r="J59" s="825"/>
      <c r="K59" s="127"/>
      <c r="L59" s="113"/>
      <c r="M59" s="113"/>
      <c r="N59" s="113"/>
      <c r="O59" s="113"/>
    </row>
    <row r="60" spans="2:16" s="453" customFormat="1" ht="15" customHeight="1">
      <c r="B60" s="116" t="s">
        <v>515</v>
      </c>
      <c r="C60" s="444">
        <f>C41+C49+C58</f>
        <v>3821.0415008904106</v>
      </c>
      <c r="D60" s="444">
        <f>D41+D49+D58</f>
        <v>151.95766447202749</v>
      </c>
      <c r="E60" s="444">
        <f>E41+E49+E58</f>
        <v>341.04981596526625</v>
      </c>
      <c r="F60" s="444">
        <f>F41+F49+F58</f>
        <v>837.11327832539382</v>
      </c>
      <c r="G60" s="447" t="s">
        <v>4</v>
      </c>
      <c r="H60" s="446">
        <f>SUM(C60:F60)</f>
        <v>5151.1622596530979</v>
      </c>
      <c r="I60" s="117"/>
      <c r="J60" s="476"/>
      <c r="K60" s="476"/>
      <c r="L60" s="478"/>
      <c r="M60" s="478"/>
      <c r="N60" s="478"/>
      <c r="O60" s="478"/>
      <c r="P60" s="475"/>
    </row>
    <row r="61" spans="2:16" ht="15" customHeight="1">
      <c r="B61" s="114"/>
      <c r="C61" s="133"/>
      <c r="D61" s="133"/>
      <c r="E61" s="133"/>
      <c r="F61" s="133"/>
      <c r="G61" s="463"/>
      <c r="H61" s="463"/>
      <c r="I61" s="110"/>
      <c r="J61" s="112"/>
      <c r="K61" s="112"/>
      <c r="L61" s="113"/>
      <c r="M61" s="113"/>
      <c r="N61" s="113"/>
      <c r="O61" s="113"/>
      <c r="P61" s="109"/>
    </row>
    <row r="62" spans="2:16">
      <c r="B62" s="1032"/>
      <c r="C62" s="1033"/>
      <c r="D62" s="1033"/>
      <c r="E62" s="1033"/>
      <c r="F62" s="1033"/>
      <c r="G62" s="1033"/>
      <c r="H62" s="1033"/>
    </row>
    <row r="63" spans="2:16">
      <c r="B63" s="916"/>
      <c r="C63" s="916"/>
      <c r="D63" s="916"/>
      <c r="E63" s="916"/>
      <c r="F63" s="916"/>
      <c r="G63" s="916"/>
      <c r="H63" s="916"/>
    </row>
    <row r="64" spans="2:16">
      <c r="B64" s="116" t="s">
        <v>664</v>
      </c>
      <c r="C64" s="916"/>
      <c r="D64" s="916"/>
      <c r="E64" s="916"/>
      <c r="F64" s="916"/>
      <c r="G64" s="916"/>
      <c r="H64" s="916"/>
    </row>
    <row r="65" spans="2:15">
      <c r="B65" s="985" t="s">
        <v>668</v>
      </c>
      <c r="C65" s="916"/>
      <c r="D65" s="916"/>
      <c r="E65" s="916"/>
      <c r="F65" s="916"/>
      <c r="G65" s="916"/>
      <c r="H65" s="986">
        <f>C41+C58</f>
        <v>654.937500890411</v>
      </c>
    </row>
    <row r="66" spans="2:15">
      <c r="B66" s="135" t="s">
        <v>667</v>
      </c>
      <c r="C66" s="916"/>
      <c r="D66" s="916"/>
      <c r="E66" s="916"/>
      <c r="F66" s="916"/>
      <c r="G66" s="916"/>
      <c r="H66" s="986">
        <f>D41+D58</f>
        <v>151.69196720177797</v>
      </c>
    </row>
    <row r="67" spans="2:15" ht="15" customHeight="1">
      <c r="B67" s="985" t="s">
        <v>669</v>
      </c>
      <c r="C67" s="469"/>
      <c r="D67" s="133"/>
      <c r="E67" s="444"/>
      <c r="F67" s="464"/>
      <c r="G67" s="442"/>
      <c r="H67" s="463">
        <f>F41+F58</f>
        <v>529.01929423140962</v>
      </c>
      <c r="I67" s="118"/>
      <c r="J67" s="112"/>
      <c r="K67" s="113"/>
      <c r="L67" s="113"/>
      <c r="M67" s="113"/>
      <c r="N67" s="113"/>
      <c r="O67" s="109"/>
    </row>
    <row r="68" spans="2:15" ht="15" customHeight="1">
      <c r="B68" s="831" t="s">
        <v>666</v>
      </c>
      <c r="C68" s="469"/>
      <c r="D68" s="469"/>
      <c r="E68" s="592"/>
      <c r="F68" s="464"/>
      <c r="G68" s="442"/>
      <c r="H68" s="848">
        <f>SUM(H65:H67)</f>
        <v>1335.6487623235985</v>
      </c>
      <c r="I68" s="112"/>
      <c r="J68" s="112"/>
      <c r="K68" s="113"/>
      <c r="L68" s="113"/>
      <c r="M68" s="113"/>
      <c r="N68" s="113"/>
      <c r="O68" s="109"/>
    </row>
    <row r="69" spans="2:15" ht="15" customHeight="1">
      <c r="B69" s="985" t="s">
        <v>680</v>
      </c>
      <c r="C69" s="469"/>
      <c r="D69" s="469"/>
      <c r="E69" s="469"/>
      <c r="F69" s="132"/>
      <c r="G69" s="442"/>
      <c r="H69" s="463">
        <f>C49</f>
        <v>3166.1039999999998</v>
      </c>
      <c r="I69" s="112"/>
      <c r="J69" s="112"/>
      <c r="K69" s="113"/>
      <c r="L69" s="113"/>
      <c r="M69" s="113"/>
      <c r="N69" s="113"/>
      <c r="O69" s="109"/>
    </row>
    <row r="70" spans="2:15" ht="15" customHeight="1">
      <c r="B70" s="985" t="s">
        <v>445</v>
      </c>
      <c r="C70" s="469"/>
      <c r="D70" s="469"/>
      <c r="E70" s="469"/>
      <c r="F70" s="132"/>
      <c r="G70" s="442"/>
      <c r="H70" s="463">
        <f>D49</f>
        <v>0.26569727024952072</v>
      </c>
      <c r="I70" s="112"/>
      <c r="J70" s="112"/>
      <c r="K70" s="113"/>
      <c r="L70" s="113"/>
      <c r="M70" s="113"/>
      <c r="N70" s="113"/>
      <c r="O70" s="109"/>
    </row>
    <row r="71" spans="2:15" ht="15" customHeight="1">
      <c r="B71" s="985" t="s">
        <v>670</v>
      </c>
      <c r="C71" s="469"/>
      <c r="D71" s="444"/>
      <c r="E71" s="469"/>
      <c r="F71" s="132"/>
      <c r="G71" s="132"/>
      <c r="H71" s="463">
        <f>F49</f>
        <v>308.09398409398409</v>
      </c>
      <c r="I71" s="112"/>
      <c r="J71" s="112"/>
      <c r="K71" s="113"/>
      <c r="L71" s="113"/>
      <c r="M71" s="113"/>
      <c r="N71" s="113"/>
      <c r="O71" s="109"/>
    </row>
    <row r="72" spans="2:15" ht="15" customHeight="1">
      <c r="B72" s="831" t="s">
        <v>671</v>
      </c>
      <c r="C72" s="43"/>
      <c r="D72" s="43"/>
      <c r="E72" s="832"/>
      <c r="F72" s="43"/>
      <c r="G72" s="43"/>
      <c r="H72" s="598">
        <f>SUM(H69:H71)</f>
        <v>3474.4636813642333</v>
      </c>
      <c r="I72" s="112"/>
      <c r="J72" s="112"/>
      <c r="K72" s="113"/>
      <c r="L72" s="113"/>
      <c r="M72" s="113"/>
      <c r="N72" s="113"/>
      <c r="O72" s="109"/>
    </row>
    <row r="73" spans="2:15" ht="15" customHeight="1">
      <c r="B73" s="833" t="s">
        <v>513</v>
      </c>
      <c r="C73" s="919"/>
      <c r="D73" s="919"/>
      <c r="E73" s="987"/>
      <c r="F73" s="988"/>
      <c r="G73" s="919"/>
      <c r="H73" s="818">
        <f>H68+H72</f>
        <v>4810.1124436878317</v>
      </c>
      <c r="I73" s="112"/>
      <c r="J73" s="112"/>
      <c r="K73" s="113"/>
      <c r="L73" s="113"/>
      <c r="M73" s="113"/>
      <c r="N73" s="113"/>
      <c r="O73" s="109"/>
    </row>
    <row r="74" spans="2:15" ht="15" customHeight="1">
      <c r="B74" s="985" t="s">
        <v>672</v>
      </c>
      <c r="C74" s="135"/>
      <c r="D74" s="135"/>
      <c r="E74" s="472"/>
      <c r="F74" s="135"/>
      <c r="G74" s="135"/>
      <c r="H74" s="989">
        <f>E41+E58</f>
        <v>339.57964551072081</v>
      </c>
      <c r="I74" s="112"/>
      <c r="J74" s="112"/>
      <c r="K74" s="113"/>
      <c r="L74" s="113"/>
      <c r="M74" s="113"/>
      <c r="N74" s="113"/>
      <c r="O74" s="109"/>
    </row>
    <row r="75" spans="2:15" ht="15" customHeight="1">
      <c r="B75" s="985" t="s">
        <v>673</v>
      </c>
      <c r="C75" s="135"/>
      <c r="D75" s="135"/>
      <c r="E75" s="472"/>
      <c r="F75" s="135"/>
      <c r="G75" s="135"/>
      <c r="H75" s="990">
        <f>E45</f>
        <v>1.4701704545454544</v>
      </c>
      <c r="I75" s="112"/>
      <c r="J75" s="112"/>
      <c r="K75" s="113"/>
      <c r="L75" s="113"/>
      <c r="M75" s="113"/>
      <c r="N75" s="113"/>
      <c r="O75" s="109"/>
    </row>
    <row r="76" spans="2:15" ht="15" customHeight="1">
      <c r="B76" s="837" t="s">
        <v>514</v>
      </c>
      <c r="C76" s="919"/>
      <c r="D76" s="919"/>
      <c r="E76" s="987"/>
      <c r="F76" s="988"/>
      <c r="G76" s="919"/>
      <c r="H76" s="819">
        <f>H74+H75</f>
        <v>341.04981596526625</v>
      </c>
      <c r="I76" s="112"/>
      <c r="J76" s="112"/>
      <c r="K76" s="113"/>
      <c r="L76" s="113"/>
      <c r="M76" s="113"/>
      <c r="N76" s="113"/>
      <c r="O76" s="109"/>
    </row>
    <row r="77" spans="2:15" ht="15" customHeight="1">
      <c r="B77" s="264"/>
      <c r="C77" s="402"/>
      <c r="D77" s="242"/>
      <c r="E77" s="402"/>
      <c r="F77" s="400"/>
      <c r="G77" s="400"/>
      <c r="H77" s="443"/>
      <c r="I77" s="112"/>
      <c r="J77" s="112"/>
      <c r="K77" s="113"/>
      <c r="L77" s="113"/>
      <c r="M77" s="113"/>
      <c r="N77" s="113"/>
      <c r="O77" s="109"/>
    </row>
    <row r="78" spans="2:15">
      <c r="B78" s="400"/>
      <c r="C78" s="402"/>
      <c r="D78" s="402"/>
      <c r="E78" s="402"/>
      <c r="F78" s="400"/>
      <c r="G78" s="443"/>
      <c r="H78" s="443"/>
      <c r="I78" s="112"/>
      <c r="J78" s="112"/>
      <c r="K78" s="111"/>
      <c r="L78" s="111"/>
      <c r="M78" s="111"/>
      <c r="N78" s="111"/>
      <c r="O78" s="109"/>
    </row>
    <row r="79" spans="2:15">
      <c r="B79" s="400"/>
      <c r="C79" s="400"/>
      <c r="D79" s="400"/>
      <c r="E79" s="400"/>
      <c r="F79" s="400"/>
      <c r="G79" s="443"/>
      <c r="H79" s="443"/>
      <c r="I79" s="112"/>
      <c r="J79" s="112"/>
      <c r="K79" s="111"/>
      <c r="L79" s="111"/>
      <c r="M79" s="111"/>
      <c r="N79" s="111"/>
      <c r="O79" s="109"/>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76"/>
  <sheetViews>
    <sheetView showGridLines="0" view="pageLayout" topLeftCell="A30" workbookViewId="0">
      <selection activeCell="B38" sqref="B38"/>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8" t="str">
        <f>'Workbook Index'!B40</f>
        <v>Herbs, Summer Annual</v>
      </c>
      <c r="C2" s="44" t="s">
        <v>920</v>
      </c>
      <c r="D2" s="221"/>
      <c r="E2" s="221"/>
      <c r="I2" s="120"/>
      <c r="J2" s="120"/>
      <c r="K2" s="120"/>
      <c r="L2" s="109"/>
      <c r="M2" s="109"/>
      <c r="N2" s="109"/>
    </row>
    <row r="3" spans="2:19" ht="34"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7">
        <f>'BW1-Bed and Row Spacing'!J22</f>
        <v>6701.5384615384619</v>
      </c>
      <c r="F4" s="135"/>
      <c r="G4" s="135"/>
      <c r="H4" s="135"/>
      <c r="I4" s="226"/>
      <c r="J4" s="226"/>
      <c r="K4" s="226"/>
      <c r="L4" s="109"/>
      <c r="M4" s="110"/>
      <c r="N4" s="111"/>
      <c r="O4" s="112"/>
      <c r="P4" s="112"/>
      <c r="Q4" s="112"/>
      <c r="R4" s="112"/>
      <c r="S4" s="112"/>
    </row>
    <row r="5" spans="2:19">
      <c r="B5" s="915"/>
      <c r="C5" s="132" t="s">
        <v>366</v>
      </c>
      <c r="D5" s="916"/>
      <c r="E5" s="1338" t="s">
        <v>820</v>
      </c>
      <c r="F5" s="1338"/>
      <c r="G5" s="1338"/>
      <c r="H5" s="1338"/>
      <c r="M5" s="110"/>
      <c r="N5" s="111"/>
      <c r="O5" s="112"/>
      <c r="P5" s="112"/>
      <c r="Q5" s="112"/>
      <c r="R5" s="112"/>
      <c r="S5" s="112"/>
    </row>
    <row r="6" spans="2:19">
      <c r="B6" s="223"/>
      <c r="C6" s="915"/>
      <c r="D6" s="916"/>
      <c r="E6" s="1338"/>
      <c r="F6" s="1338"/>
      <c r="G6" s="1338"/>
      <c r="H6" s="1338"/>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6" customHeight="1">
      <c r="B11" s="922" t="s">
        <v>181</v>
      </c>
      <c r="C11" s="999"/>
      <c r="D11" s="1000"/>
      <c r="E11" s="1000"/>
      <c r="F11" s="1001"/>
      <c r="G11" s="509"/>
      <c r="H11" s="509"/>
      <c r="I11" s="132"/>
      <c r="J11" s="118"/>
      <c r="K11" s="112"/>
      <c r="L11" s="112"/>
      <c r="M11" s="112"/>
      <c r="N11" s="112"/>
      <c r="O11" s="112"/>
    </row>
    <row r="12" spans="2:19" ht="15" customHeight="1">
      <c r="B12" s="265" t="s">
        <v>145</v>
      </c>
      <c r="C12" s="512">
        <f>'BW2-Field Act. Labor &amp; Mach.'!I9</f>
        <v>9.23447</v>
      </c>
      <c r="D12" s="520">
        <f>'BW2-Field Act. Labor &amp; Mach.'!K9</f>
        <v>7.1626812745625896</v>
      </c>
      <c r="E12" s="520">
        <f>'BW2-Field Act. Labor &amp; Mach.'!L9</f>
        <v>6.5697668891297312</v>
      </c>
      <c r="F12" s="526"/>
      <c r="G12" s="465"/>
      <c r="H12" s="465"/>
      <c r="I12" s="28"/>
      <c r="J12" s="112"/>
      <c r="K12" s="118"/>
      <c r="L12" s="118"/>
      <c r="M12" s="112"/>
      <c r="N12" s="112"/>
      <c r="O12" s="112"/>
    </row>
    <row r="13" spans="2:19" ht="15" customHeight="1">
      <c r="B13" s="132" t="s">
        <v>46</v>
      </c>
      <c r="C13" s="512">
        <f>'BW2-Field Act. Labor &amp; Mach.'!I10</f>
        <v>11.87289</v>
      </c>
      <c r="D13" s="520">
        <f>'BW2-Field Act. Labor &amp; Mach.'!K10</f>
        <v>16.900081383311999</v>
      </c>
      <c r="E13" s="520">
        <f>'BW2-Field Act. Labor &amp; Mach.'!L10</f>
        <v>23.703168100043012</v>
      </c>
      <c r="F13" s="526"/>
      <c r="G13" s="133"/>
      <c r="H13" s="465"/>
      <c r="I13" s="28"/>
      <c r="J13" s="112"/>
      <c r="K13" s="112"/>
      <c r="L13" s="112"/>
      <c r="M13" s="118"/>
      <c r="N13" s="112"/>
      <c r="O13" s="112"/>
    </row>
    <row r="14" spans="2:19" ht="15" customHeight="1">
      <c r="B14" s="151" t="s">
        <v>69</v>
      </c>
      <c r="C14" s="512"/>
      <c r="D14" s="520"/>
      <c r="E14" s="520"/>
      <c r="F14" s="526">
        <f>'BW3-Variable Input'!C9</f>
        <v>116.66666666666667</v>
      </c>
      <c r="G14" s="133"/>
      <c r="H14" s="465"/>
      <c r="I14" s="28"/>
      <c r="J14" s="112"/>
      <c r="K14" s="112"/>
      <c r="L14" s="112"/>
      <c r="M14" s="118"/>
      <c r="N14" s="112"/>
      <c r="O14" s="112"/>
    </row>
    <row r="15" spans="2:19" ht="15" customHeight="1">
      <c r="B15" s="132" t="s">
        <v>11</v>
      </c>
      <c r="C15" s="512">
        <f>'BW2-Field Act. Labor &amp; Mach.'!I13</f>
        <v>22.426569999999998</v>
      </c>
      <c r="D15" s="520">
        <f>'BW2-Field Act. Labor &amp; Mach.'!K13</f>
        <v>17.993866831056</v>
      </c>
      <c r="E15" s="520">
        <f>'BW2-Field Act. Labor &amp; Mach.'!L13</f>
        <v>44.771770188886023</v>
      </c>
      <c r="F15" s="526"/>
      <c r="G15" s="133"/>
      <c r="H15" s="463"/>
      <c r="I15" s="28"/>
      <c r="J15" s="112"/>
      <c r="K15" s="112"/>
      <c r="L15" s="112"/>
      <c r="M15" s="118"/>
      <c r="N15" s="112"/>
      <c r="O15" s="112"/>
    </row>
    <row r="16" spans="2:19" ht="15" customHeight="1">
      <c r="B16" s="132" t="s">
        <v>12</v>
      </c>
      <c r="C16" s="512">
        <f>'BW2-Field Act. Labor &amp; Mach.'!I14</f>
        <v>10.55368</v>
      </c>
      <c r="D16" s="520">
        <f>'BW2-Field Act. Labor &amp; Mach.'!K14</f>
        <v>9.2140341759999984</v>
      </c>
      <c r="E16" s="520">
        <f>'BW2-Field Act. Labor &amp; Mach.'!L14</f>
        <v>29.935417361494395</v>
      </c>
      <c r="F16" s="526"/>
      <c r="G16" s="133"/>
      <c r="H16" s="463"/>
      <c r="I16" s="28"/>
      <c r="J16" s="112"/>
      <c r="K16" s="112"/>
      <c r="L16" s="112"/>
      <c r="M16" s="112"/>
      <c r="N16" s="112"/>
      <c r="O16" s="112"/>
    </row>
    <row r="17" spans="2:15" ht="15" customHeight="1">
      <c r="B17" s="132" t="s">
        <v>144</v>
      </c>
      <c r="C17" s="512">
        <f>'BW2-Field Act. Labor &amp; Mach.'!I15</f>
        <v>59.364449999999998</v>
      </c>
      <c r="D17" s="520">
        <f>'BW2-Field Act. Labor &amp; Mach.'!K15</f>
        <v>11.732543673988348</v>
      </c>
      <c r="E17" s="520">
        <f>'BW2-Field Act. Labor &amp; Mach.'!L15</f>
        <v>19.938595491388046</v>
      </c>
      <c r="F17" s="526"/>
      <c r="G17" s="265"/>
      <c r="H17" s="463"/>
      <c r="I17" s="28"/>
      <c r="J17" s="112"/>
      <c r="K17" s="112"/>
      <c r="L17" s="112"/>
      <c r="M17" s="112"/>
      <c r="N17" s="112"/>
      <c r="O17" s="112"/>
    </row>
    <row r="18" spans="2:15" ht="15" customHeight="1">
      <c r="B18" s="151" t="s">
        <v>313</v>
      </c>
      <c r="C18" s="512"/>
      <c r="D18" s="520"/>
      <c r="E18" s="520"/>
      <c r="F18" s="526">
        <f>'BW3-Variable Input'!C23</f>
        <v>125.09538461538463</v>
      </c>
      <c r="G18" s="133"/>
      <c r="H18" s="463"/>
      <c r="I18" s="28"/>
      <c r="J18" s="112"/>
      <c r="K18" s="112"/>
      <c r="L18" s="112"/>
      <c r="M18" s="112"/>
      <c r="N18" s="112"/>
      <c r="O18" s="112"/>
    </row>
    <row r="19" spans="2:15" ht="15" customHeight="1">
      <c r="B19" s="416" t="s">
        <v>192</v>
      </c>
      <c r="C19" s="513">
        <f>'BW2-Field Act. Labor &amp; Mach.'!I16*2</f>
        <v>21.10736</v>
      </c>
      <c r="D19" s="521">
        <f>'BW2-Field Act. Labor &amp; Mach.'!K16*2</f>
        <v>12.051200395575469</v>
      </c>
      <c r="E19" s="521">
        <f>'BW2-Field Act. Labor &amp; Mach.'!L16*2</f>
        <v>17.332156747393537</v>
      </c>
      <c r="F19" s="527"/>
      <c r="G19" s="486"/>
      <c r="H19" s="485"/>
      <c r="I19" s="28"/>
      <c r="J19" s="112"/>
      <c r="K19" s="112"/>
      <c r="L19" s="112"/>
      <c r="M19" s="112"/>
      <c r="N19" s="112"/>
      <c r="O19" s="112"/>
    </row>
    <row r="20" spans="2:15" ht="15" customHeight="1">
      <c r="B20" s="132"/>
      <c r="C20" s="133"/>
      <c r="D20" s="133"/>
      <c r="E20" s="133"/>
      <c r="F20" s="133"/>
      <c r="G20" s="133"/>
      <c r="H20" s="466"/>
      <c r="I20" s="28"/>
      <c r="J20" s="112"/>
      <c r="K20" s="112"/>
      <c r="L20" s="112"/>
      <c r="M20" s="112"/>
      <c r="N20" s="112"/>
      <c r="O20" s="112"/>
    </row>
    <row r="21" spans="2:15" ht="15" customHeight="1">
      <c r="B21" s="921" t="s">
        <v>10</v>
      </c>
      <c r="C21" s="515"/>
      <c r="D21" s="438"/>
      <c r="E21" s="438"/>
      <c r="F21" s="529"/>
      <c r="G21" s="422"/>
      <c r="H21" s="494"/>
      <c r="I21" s="28"/>
      <c r="J21" s="112"/>
      <c r="K21" s="112"/>
      <c r="L21" s="112"/>
      <c r="M21" s="112"/>
      <c r="N21" s="112"/>
      <c r="O21" s="112"/>
    </row>
    <row r="22" spans="2:15" ht="15" customHeight="1">
      <c r="B22" s="473" t="s">
        <v>321</v>
      </c>
      <c r="C22" s="516">
        <f>'BW2-Field Act. Labor &amp; Mach.'!I20</f>
        <v>52.7684</v>
      </c>
      <c r="D22" s="520">
        <f>'BW2-Field Act. Labor &amp; Mach.'!K20</f>
        <v>17.196459355934465</v>
      </c>
      <c r="E22" s="520">
        <f>'BW2-Field Act. Labor &amp; Mach.'!L20</f>
        <v>40.179586989352146</v>
      </c>
      <c r="F22" s="526"/>
      <c r="G22" s="265"/>
      <c r="H22" s="463"/>
      <c r="I22" s="132"/>
      <c r="J22" s="112"/>
      <c r="K22" s="112"/>
      <c r="L22" s="112"/>
      <c r="M22" s="112"/>
      <c r="N22" s="112"/>
      <c r="O22" s="112"/>
    </row>
    <row r="23" spans="2:15" ht="15" customHeight="1">
      <c r="B23" s="151" t="s">
        <v>315</v>
      </c>
      <c r="C23" s="516"/>
      <c r="D23" s="520"/>
      <c r="E23" s="520"/>
      <c r="F23" s="526">
        <f>'BW3-Variable Input'!C10</f>
        <v>124</v>
      </c>
      <c r="G23" s="133"/>
      <c r="H23" s="463"/>
      <c r="I23" s="132"/>
      <c r="J23" s="112"/>
      <c r="K23" s="112"/>
      <c r="L23" s="112"/>
      <c r="M23" s="112"/>
      <c r="N23" s="112"/>
      <c r="O23" s="112"/>
    </row>
    <row r="24" spans="2:15" ht="15" customHeight="1">
      <c r="B24" s="418" t="s">
        <v>65</v>
      </c>
      <c r="C24" s="513"/>
      <c r="D24" s="521"/>
      <c r="E24" s="521"/>
      <c r="F24" s="527">
        <f>'BW3-Variable Input'!C47</f>
        <v>44.230153846153854</v>
      </c>
      <c r="G24" s="486"/>
      <c r="H24" s="485"/>
      <c r="I24" s="132"/>
      <c r="J24" s="112"/>
      <c r="K24" s="112"/>
      <c r="L24" s="112"/>
      <c r="M24" s="112"/>
      <c r="N24" s="112"/>
      <c r="O24" s="112"/>
    </row>
    <row r="25" spans="2:15" ht="15" customHeight="1">
      <c r="B25" s="132"/>
      <c r="C25" s="133"/>
      <c r="D25" s="133"/>
      <c r="E25" s="133"/>
      <c r="F25" s="133"/>
      <c r="G25" s="133"/>
      <c r="H25" s="466"/>
      <c r="I25" s="132"/>
      <c r="J25" s="112"/>
      <c r="K25" s="112"/>
      <c r="L25" s="112"/>
      <c r="M25" s="112"/>
      <c r="N25" s="112"/>
      <c r="O25" s="112"/>
    </row>
    <row r="26" spans="2:15" ht="15" customHeight="1">
      <c r="B26" s="921" t="s">
        <v>37</v>
      </c>
      <c r="C26" s="515"/>
      <c r="D26" s="438"/>
      <c r="E26" s="438"/>
      <c r="F26" s="529"/>
      <c r="G26" s="422"/>
      <c r="H26" s="494"/>
      <c r="I26" s="132"/>
      <c r="J26" s="112"/>
      <c r="K26" s="112"/>
      <c r="L26" s="112"/>
      <c r="M26" s="112"/>
      <c r="N26" s="112"/>
      <c r="O26" s="112"/>
    </row>
    <row r="27" spans="2:15" ht="15" customHeight="1">
      <c r="B27" s="462" t="s">
        <v>179</v>
      </c>
      <c r="C27" s="512">
        <f>'BW2-Field Act. Labor &amp; Mach.'!$I$31*2</f>
        <v>10.55368</v>
      </c>
      <c r="D27" s="520">
        <f>'BW2-Field Act. Labor &amp; Mach.'!K31*2</f>
        <v>1.6570295666513035</v>
      </c>
      <c r="E27" s="520">
        <f>'BW2-Field Act. Labor &amp; Mach.'!L31*2</f>
        <v>27.363002680965153</v>
      </c>
      <c r="F27" s="526"/>
      <c r="G27" s="133"/>
      <c r="H27" s="133"/>
      <c r="I27" s="132"/>
      <c r="J27" s="112"/>
      <c r="K27" s="118"/>
      <c r="L27" s="112"/>
      <c r="M27" s="112"/>
      <c r="N27" s="112"/>
      <c r="O27" s="112"/>
    </row>
    <row r="28" spans="2:15" ht="15" customHeight="1">
      <c r="B28" s="151" t="str">
        <f>'BW5-Irrigation'!$B$8</f>
        <v>Irrigation supply cost</v>
      </c>
      <c r="C28" s="512"/>
      <c r="D28" s="520"/>
      <c r="E28" s="520"/>
      <c r="F28" s="526">
        <f>'BW5-Irrigation'!$E$8</f>
        <v>32.773534158149545</v>
      </c>
      <c r="G28" s="1029" t="s">
        <v>851</v>
      </c>
      <c r="H28" s="133"/>
      <c r="I28" s="132"/>
      <c r="J28" s="112"/>
      <c r="K28" s="118"/>
      <c r="L28" s="112"/>
      <c r="M28" s="112"/>
      <c r="N28" s="112"/>
      <c r="O28" s="112"/>
    </row>
    <row r="29" spans="2:15" ht="15" customHeight="1">
      <c r="B29" s="132" t="str">
        <f>'BW5-Irrigation'!$B$9</f>
        <v>Irrigation set-up labor cost</v>
      </c>
      <c r="C29" s="512">
        <f>'BW5-Irrigation'!$E$9</f>
        <v>50.735370890410955</v>
      </c>
      <c r="D29" s="520"/>
      <c r="E29" s="520"/>
      <c r="F29" s="526"/>
      <c r="G29" s="1029" t="s">
        <v>851</v>
      </c>
      <c r="H29" s="133"/>
      <c r="I29" s="132"/>
      <c r="J29" s="112"/>
      <c r="K29" s="118"/>
      <c r="L29" s="112"/>
      <c r="M29" s="112"/>
      <c r="N29" s="112"/>
      <c r="O29" s="112"/>
    </row>
    <row r="30" spans="2:15" ht="15" customHeight="1">
      <c r="B30" s="132" t="s">
        <v>184</v>
      </c>
      <c r="C30" s="512">
        <f>'BW2-Field Act. Labor &amp; Mach.'!I39*'BW5-Irrigation'!C27</f>
        <v>126.64416</v>
      </c>
      <c r="D30" s="520"/>
      <c r="E30" s="520"/>
      <c r="F30" s="526"/>
      <c r="G30" s="133"/>
      <c r="H30" s="463"/>
      <c r="I30" s="115"/>
      <c r="J30" s="118"/>
      <c r="K30" s="118"/>
      <c r="L30" s="118"/>
      <c r="M30" s="112"/>
      <c r="N30" s="112"/>
      <c r="O30" s="112"/>
    </row>
    <row r="31" spans="2:15" ht="15" customHeight="1">
      <c r="B31" s="462" t="s">
        <v>230</v>
      </c>
      <c r="C31" s="517">
        <v>6.6</v>
      </c>
      <c r="D31" s="523">
        <f>'BW2-Field Act. Labor &amp; Mach.'!K32</f>
        <v>0.70423756582680397</v>
      </c>
      <c r="E31" s="523">
        <f>'BW2-Field Act. Labor &amp; Mach.'!L32</f>
        <v>11.629276139410191</v>
      </c>
      <c r="F31" s="530"/>
      <c r="G31" s="133"/>
      <c r="H31" s="133"/>
      <c r="I31" s="132"/>
      <c r="J31" s="112"/>
      <c r="K31" s="118"/>
      <c r="L31" s="112"/>
      <c r="M31" s="112"/>
      <c r="N31" s="112"/>
      <c r="O31" s="112"/>
    </row>
    <row r="32" spans="2:15" ht="15" customHeight="1">
      <c r="B32" s="482" t="s">
        <v>308</v>
      </c>
      <c r="C32" s="517"/>
      <c r="D32" s="523"/>
      <c r="E32" s="523"/>
      <c r="F32" s="530">
        <v>8.8000000000000007</v>
      </c>
      <c r="G32" s="133"/>
      <c r="H32" s="133"/>
      <c r="I32" s="132"/>
      <c r="J32" s="112"/>
      <c r="K32" s="118"/>
      <c r="L32" s="112"/>
      <c r="M32" s="112"/>
      <c r="N32" s="112"/>
      <c r="O32" s="112"/>
    </row>
    <row r="33" spans="2:19" ht="15" customHeight="1">
      <c r="B33" s="462" t="s">
        <v>201</v>
      </c>
      <c r="C33" s="512">
        <f>'BW2-Field Act. Labor &amp; Mach.'!$I$28*3</f>
        <v>31.66104</v>
      </c>
      <c r="D33" s="520">
        <f>'BW2-Field Act. Labor &amp; Mach.'!K28*3</f>
        <v>13.069827471322013</v>
      </c>
      <c r="E33" s="520">
        <f>'BW2-Field Act. Labor &amp; Mach.'!L28*3</f>
        <v>34.652202498356345</v>
      </c>
      <c r="F33" s="526"/>
      <c r="G33" s="133"/>
      <c r="H33" s="463"/>
      <c r="I33" s="115"/>
      <c r="J33" s="112"/>
      <c r="K33" s="118"/>
      <c r="L33" s="112"/>
      <c r="M33" s="112"/>
      <c r="N33" s="112"/>
      <c r="O33" s="112"/>
    </row>
    <row r="34" spans="2:19" ht="15" customHeight="1">
      <c r="B34" s="462" t="str">
        <f>'BW2-Field Act. Labor &amp; Mach.'!$B$34</f>
        <v>Scuffle hoe</v>
      </c>
      <c r="C34" s="512">
        <f>'BW2-Field Act. Labor &amp; Mach.'!$I$34</f>
        <v>98.940749999999994</v>
      </c>
      <c r="D34" s="520"/>
      <c r="E34" s="520"/>
      <c r="F34" s="526"/>
      <c r="G34" s="473"/>
      <c r="H34" s="479"/>
      <c r="I34" s="479"/>
      <c r="J34" s="228"/>
      <c r="K34"/>
      <c r="L34"/>
      <c r="M34"/>
      <c r="N34"/>
      <c r="O34"/>
      <c r="P34"/>
      <c r="Q34"/>
      <c r="R34"/>
      <c r="S34"/>
    </row>
    <row r="35" spans="2:19" ht="15" customHeight="1">
      <c r="B35" s="493" t="s">
        <v>180</v>
      </c>
      <c r="C35" s="513">
        <f>'BW2-Field Act. Labor &amp; Mach.'!$I$29*2</f>
        <v>63.32208</v>
      </c>
      <c r="D35" s="521">
        <f>'BW2-Field Act. Labor &amp; Mach.'!K29*2</f>
        <v>18.849340278005133</v>
      </c>
      <c r="E35" s="521">
        <f>'BW2-Field Act. Labor &amp; Mach.'!L29*2</f>
        <v>51.654848024316109</v>
      </c>
      <c r="F35" s="527"/>
      <c r="G35" s="486"/>
      <c r="H35" s="485"/>
      <c r="I35" s="115"/>
      <c r="J35" s="112"/>
      <c r="K35" s="118"/>
      <c r="L35" s="112"/>
      <c r="M35" s="112"/>
      <c r="N35" s="112"/>
      <c r="O35" s="112"/>
    </row>
    <row r="36" spans="2:19" s="453" customFormat="1" ht="15" customHeight="1">
      <c r="B36" s="824" t="s">
        <v>508</v>
      </c>
      <c r="C36" s="444">
        <f>SUM(C12:C19, C22:C24,C27:C35)</f>
        <v>575.784900890411</v>
      </c>
      <c r="D36" s="444">
        <f>SUM(D12:D19, D22:D24,D27:D35)</f>
        <v>126.53130197223412</v>
      </c>
      <c r="E36" s="444">
        <f>SUM(E12:E19, E22:E24,E27:E35)</f>
        <v>307.72979111073465</v>
      </c>
      <c r="F36" s="444">
        <f>SUM(F12:F19, F22:F24,F27:F35)</f>
        <v>451.5657392863547</v>
      </c>
      <c r="G36" s="445" t="s">
        <v>4</v>
      </c>
      <c r="H36" s="446">
        <f>SUM(C36:F36)</f>
        <v>1461.6117332597346</v>
      </c>
      <c r="I36" s="117"/>
      <c r="J36" s="476"/>
      <c r="K36" s="476"/>
      <c r="L36" s="477"/>
      <c r="M36" s="477"/>
      <c r="N36" s="477"/>
      <c r="O36" s="477"/>
      <c r="P36" s="475"/>
    </row>
    <row r="37" spans="2:19" s="120" customFormat="1" ht="15" customHeight="1">
      <c r="B37" s="593"/>
      <c r="C37" s="133"/>
      <c r="D37" s="133"/>
      <c r="E37" s="133"/>
      <c r="F37" s="133"/>
      <c r="G37" s="924"/>
      <c r="H37" s="265"/>
    </row>
    <row r="38" spans="2:19" s="119" customFormat="1" ht="15" customHeight="1">
      <c r="B38" s="116" t="s">
        <v>914</v>
      </c>
      <c r="C38" s="133"/>
      <c r="D38" s="133"/>
      <c r="E38" s="133"/>
      <c r="F38" s="133"/>
      <c r="G38" s="924"/>
      <c r="H38" s="265"/>
      <c r="I38" s="120"/>
    </row>
    <row r="39" spans="2:19" ht="15" customHeight="1">
      <c r="B39" s="921" t="s">
        <v>3</v>
      </c>
      <c r="C39" s="514"/>
      <c r="D39" s="522"/>
      <c r="E39" s="522"/>
      <c r="F39" s="528"/>
      <c r="G39" s="983"/>
      <c r="H39" s="491"/>
      <c r="I39" s="265"/>
      <c r="J39" s="118"/>
      <c r="K39" s="112"/>
      <c r="L39" s="111"/>
      <c r="M39" s="111"/>
      <c r="N39" s="111"/>
      <c r="O39" s="111"/>
      <c r="P39" s="109"/>
    </row>
    <row r="40" spans="2:19" ht="15" customHeight="1">
      <c r="B40" s="132" t="s">
        <v>316</v>
      </c>
      <c r="C40" s="512">
        <f>'BW6-Harvest and Wash-Pack'!D22*'BW6-Harvest and Wash-Pack'!G22</f>
        <v>1187.289</v>
      </c>
      <c r="D40" s="520">
        <f>'BW2-Field Act. Labor &amp; Mach.'!K54*'BW6-Harvest and Wash-Pack'!G22</f>
        <v>0.26569727024952072</v>
      </c>
      <c r="E40" s="520">
        <f>'BW2-Field Act. Labor &amp; Mach.'!L54*'BW6-Harvest and Wash-Pack'!G22</f>
        <v>1.4701704545454544</v>
      </c>
      <c r="F40" s="526"/>
      <c r="G40" s="1029" t="s">
        <v>852</v>
      </c>
      <c r="H40" s="265"/>
      <c r="I40" s="265"/>
      <c r="J40" s="118"/>
      <c r="K40" s="112"/>
      <c r="L40" s="113"/>
      <c r="M40" s="113"/>
      <c r="N40" s="113"/>
      <c r="O40" s="113"/>
      <c r="P40" s="109"/>
    </row>
    <row r="41" spans="2:19" ht="15" customHeight="1">
      <c r="B41" s="151" t="str">
        <f>'BW3-Variable Input'!$B$70</f>
        <v>Twist ties</v>
      </c>
      <c r="C41" s="517"/>
      <c r="D41" s="523"/>
      <c r="E41" s="523"/>
      <c r="F41" s="526">
        <f>'BW3-Variable Input'!$C$70*'BW6-Harvest and Wash-Pack'!G22</f>
        <v>174.23990999999998</v>
      </c>
      <c r="G41" s="1029"/>
      <c r="H41" s="265"/>
      <c r="I41" s="265"/>
      <c r="J41" s="118"/>
      <c r="K41" s="112"/>
      <c r="L41" s="113"/>
      <c r="M41" s="113"/>
      <c r="N41" s="113"/>
      <c r="O41" s="113"/>
      <c r="P41" s="109"/>
    </row>
    <row r="42" spans="2:19" ht="15" customHeight="1">
      <c r="B42" s="416" t="s">
        <v>362</v>
      </c>
      <c r="C42" s="513">
        <f>'BW6-Harvest and Wash-Pack'!F22*'BW6-Harvest and Wash-Pack'!G22</f>
        <v>263.84199999999998</v>
      </c>
      <c r="D42" s="521"/>
      <c r="E42" s="521"/>
      <c r="F42" s="527"/>
      <c r="G42" s="1030" t="s">
        <v>852</v>
      </c>
      <c r="H42" s="485"/>
      <c r="I42" s="115"/>
      <c r="J42" s="118"/>
      <c r="K42" s="112"/>
      <c r="L42" s="113"/>
      <c r="M42" s="113"/>
      <c r="N42" s="113"/>
      <c r="O42" s="113"/>
      <c r="P42" s="109"/>
    </row>
    <row r="43" spans="2:19" s="453" customFormat="1" ht="15" customHeight="1">
      <c r="B43" s="824" t="s">
        <v>508</v>
      </c>
      <c r="C43" s="444">
        <f>SUM(C40:C42)</f>
        <v>1451.1309999999999</v>
      </c>
      <c r="D43" s="444">
        <f>SUM(D40:D42)</f>
        <v>0.26569727024952072</v>
      </c>
      <c r="E43" s="444">
        <f>SUM(E40:E42)</f>
        <v>1.4701704545454544</v>
      </c>
      <c r="F43" s="444">
        <f>SUM(F40:F42)</f>
        <v>174.23990999999998</v>
      </c>
      <c r="G43" s="445" t="s">
        <v>4</v>
      </c>
      <c r="H43" s="446">
        <f>SUM(C43:F43)</f>
        <v>1627.1067777247949</v>
      </c>
      <c r="I43" s="117"/>
      <c r="J43" s="476"/>
      <c r="K43" s="476"/>
      <c r="L43" s="477"/>
      <c r="M43" s="477"/>
      <c r="N43" s="477"/>
      <c r="O43" s="477"/>
      <c r="P43" s="475"/>
    </row>
    <row r="44" spans="2:19" s="120" customFormat="1" ht="15" customHeight="1">
      <c r="B44" s="593"/>
      <c r="C44" s="133"/>
      <c r="D44" s="133"/>
      <c r="E44" s="133"/>
      <c r="F44" s="133"/>
      <c r="G44" s="924"/>
      <c r="H44" s="265"/>
    </row>
    <row r="45" spans="2:19" s="119" customFormat="1" ht="15" customHeight="1">
      <c r="B45" s="116" t="s">
        <v>662</v>
      </c>
      <c r="C45" s="133"/>
      <c r="D45" s="133"/>
      <c r="E45" s="133"/>
      <c r="F45" s="133"/>
      <c r="G45" s="924"/>
      <c r="H45" s="265"/>
    </row>
    <row r="46" spans="2:19" ht="15" customHeight="1">
      <c r="B46" s="921" t="s">
        <v>663</v>
      </c>
      <c r="C46" s="515"/>
      <c r="D46" s="438"/>
      <c r="E46" s="438"/>
      <c r="F46" s="529"/>
      <c r="G46" s="494"/>
      <c r="H46" s="494"/>
      <c r="I46" s="132"/>
      <c r="J46" s="112"/>
      <c r="K46" s="112"/>
      <c r="L46" s="113"/>
      <c r="M46" s="113"/>
      <c r="N46" s="113"/>
      <c r="O46" s="113"/>
      <c r="P46" s="109"/>
    </row>
    <row r="47" spans="2:19" ht="15" customHeight="1">
      <c r="B47" s="132" t="s">
        <v>42</v>
      </c>
      <c r="C47" s="512">
        <f>'BW2-Field Act. Labor &amp; Mach.'!$I$62</f>
        <v>10.55368</v>
      </c>
      <c r="D47" s="520">
        <f>'BW2-Field Act. Labor &amp; Mach.'!K62</f>
        <v>8.1859214566429603</v>
      </c>
      <c r="E47" s="520">
        <f>'BW2-Field Act. Labor &amp; Mach.'!L62</f>
        <v>7.508305016148265</v>
      </c>
      <c r="F47" s="526"/>
      <c r="G47" s="463"/>
      <c r="H47" s="463"/>
      <c r="I47" s="132"/>
      <c r="J47" s="112"/>
      <c r="K47" s="112"/>
      <c r="L47" s="113"/>
      <c r="M47" s="113"/>
      <c r="N47" s="113"/>
      <c r="O47" s="113"/>
      <c r="P47" s="109"/>
    </row>
    <row r="48" spans="2:19" ht="15" customHeight="1">
      <c r="B48" s="462" t="s">
        <v>43</v>
      </c>
      <c r="C48" s="512">
        <f>'BW2-Field Act. Labor &amp; Mach.'!$I$66</f>
        <v>5.27684</v>
      </c>
      <c r="D48" s="520">
        <f>'BW2-Field Act. Labor &amp; Mach.'!K66</f>
        <v>4.7393418269465482</v>
      </c>
      <c r="E48" s="520">
        <f>'BW2-Field Act. Labor &amp; Mach.'!L66</f>
        <v>4.8215303303156709</v>
      </c>
      <c r="F48" s="526"/>
      <c r="G48" s="463"/>
      <c r="H48" s="463"/>
      <c r="I48" s="132"/>
      <c r="J48" s="118"/>
      <c r="K48" s="112"/>
      <c r="L48" s="113"/>
      <c r="M48" s="113"/>
      <c r="N48" s="113"/>
      <c r="O48" s="113"/>
      <c r="P48" s="109"/>
    </row>
    <row r="49" spans="2:16" ht="15" customHeight="1">
      <c r="B49" s="132" t="s">
        <v>150</v>
      </c>
      <c r="C49" s="512">
        <f>'BW2-Field Act. Labor &amp; Mach.'!$I$65</f>
        <v>42.21472</v>
      </c>
      <c r="D49" s="520">
        <f>'BW2-Field Act. Labor &amp; Mach.'!K65</f>
        <v>3.4075700159999998</v>
      </c>
      <c r="E49" s="520">
        <f>'BW2-Field Act. Labor &amp; Mach.'!L65</f>
        <v>2.89283314099518</v>
      </c>
      <c r="F49" s="526"/>
      <c r="G49" s="463"/>
      <c r="H49" s="463"/>
      <c r="I49" s="115"/>
      <c r="J49" s="118"/>
      <c r="K49" s="112"/>
      <c r="L49" s="113"/>
      <c r="M49" s="113"/>
      <c r="N49" s="113"/>
      <c r="O49" s="113"/>
      <c r="P49" s="109"/>
    </row>
    <row r="50" spans="2:16" ht="15" customHeight="1">
      <c r="B50" s="462" t="s">
        <v>44</v>
      </c>
      <c r="C50" s="512">
        <f>'BW2-Field Act. Labor &amp; Mach.'!$I$67</f>
        <v>5.27684</v>
      </c>
      <c r="D50" s="520">
        <f>'BW2-Field Act. Labor &amp; Mach.'!K67</f>
        <v>4.5754035882945541</v>
      </c>
      <c r="E50" s="520">
        <f>'BW2-Field Act. Labor &amp; Mach.'!L67</f>
        <v>8.7882358546602415</v>
      </c>
      <c r="F50" s="526"/>
      <c r="G50" s="463"/>
      <c r="H50" s="463"/>
      <c r="I50" s="132"/>
      <c r="J50" s="112"/>
      <c r="K50" s="112"/>
      <c r="L50" s="113"/>
      <c r="M50" s="113"/>
      <c r="N50" s="113"/>
      <c r="O50" s="113"/>
      <c r="P50" s="109"/>
    </row>
    <row r="51" spans="2:16" ht="15" customHeight="1">
      <c r="B51" s="462" t="s">
        <v>45</v>
      </c>
      <c r="C51" s="512">
        <f>'BW2-Field Act. Labor &amp; Mach.'!$I$69</f>
        <v>14.511310000000002</v>
      </c>
      <c r="D51" s="520">
        <f>'BW2-Field Act. Labor &amp; Mach.'!K69</f>
        <v>5.9046727740142977</v>
      </c>
      <c r="E51" s="520">
        <f>'BW2-Field Act. Labor &amp; Mach.'!L69</f>
        <v>8.041581086300118</v>
      </c>
      <c r="F51" s="526"/>
      <c r="G51" s="463"/>
      <c r="H51" s="463"/>
      <c r="I51" s="132"/>
      <c r="J51" s="112"/>
      <c r="K51" s="112"/>
      <c r="L51" s="113"/>
      <c r="M51" s="113"/>
      <c r="N51" s="113"/>
      <c r="O51" s="113"/>
      <c r="P51" s="109"/>
    </row>
    <row r="52" spans="2:16" ht="15" customHeight="1">
      <c r="B52" s="500" t="str">
        <f>'BW3-Variable Input'!$B$33</f>
        <v>Winter cover crop seed</v>
      </c>
      <c r="C52" s="513"/>
      <c r="D52" s="521"/>
      <c r="E52" s="521"/>
      <c r="F52" s="527">
        <f>'BW3-Variable Input'!$C$33</f>
        <v>31.793452380952385</v>
      </c>
      <c r="G52" s="485"/>
      <c r="H52" s="485"/>
      <c r="I52" s="115"/>
      <c r="J52" s="118"/>
      <c r="K52" s="112"/>
      <c r="L52" s="113"/>
      <c r="M52" s="113"/>
      <c r="N52" s="113"/>
      <c r="O52" s="113"/>
      <c r="P52" s="109"/>
    </row>
    <row r="53" spans="2:16" s="453" customFormat="1" ht="15" customHeight="1">
      <c r="B53" s="824" t="s">
        <v>508</v>
      </c>
      <c r="C53" s="444">
        <f>SUM(C47:C52)</f>
        <v>77.833390000000009</v>
      </c>
      <c r="D53" s="444">
        <f>SUM(D47:D52)</f>
        <v>26.812909661898363</v>
      </c>
      <c r="E53" s="444">
        <f>SUM(E47:E52)</f>
        <v>32.052485428419473</v>
      </c>
      <c r="F53" s="444">
        <f>SUM(F47:F52)</f>
        <v>31.793452380952385</v>
      </c>
      <c r="G53" s="447" t="s">
        <v>4</v>
      </c>
      <c r="H53" s="446">
        <f>SUM(C53:F53)</f>
        <v>168.49223747127022</v>
      </c>
      <c r="I53" s="117"/>
      <c r="J53" s="476"/>
      <c r="K53" s="476"/>
      <c r="L53" s="478"/>
      <c r="M53" s="478"/>
      <c r="N53" s="478"/>
      <c r="O53" s="478"/>
      <c r="P53" s="475"/>
    </row>
    <row r="54" spans="2:16" s="120" customFormat="1" ht="15" customHeight="1">
      <c r="B54" s="593"/>
      <c r="C54" s="133"/>
      <c r="D54" s="133"/>
      <c r="E54" s="133"/>
      <c r="F54" s="133"/>
      <c r="G54" s="463"/>
      <c r="H54" s="463"/>
      <c r="I54" s="115"/>
      <c r="J54" s="825"/>
      <c r="K54" s="127"/>
      <c r="L54" s="113"/>
      <c r="M54" s="113"/>
      <c r="N54" s="113"/>
      <c r="O54" s="113"/>
    </row>
    <row r="55" spans="2:16" s="453" customFormat="1" ht="15" customHeight="1">
      <c r="B55" s="116" t="s">
        <v>515</v>
      </c>
      <c r="C55" s="444">
        <f>C36+C43+C53</f>
        <v>2104.7492908904105</v>
      </c>
      <c r="D55" s="444">
        <f>D36+D43+D53</f>
        <v>153.609908904382</v>
      </c>
      <c r="E55" s="444">
        <f>E36+E43+E53</f>
        <v>341.25244699369955</v>
      </c>
      <c r="F55" s="444">
        <f>F36+F43+F53</f>
        <v>657.59910166730708</v>
      </c>
      <c r="G55" s="447" t="s">
        <v>4</v>
      </c>
      <c r="H55" s="446">
        <f>SUM(C55:F55)</f>
        <v>3257.2107484557991</v>
      </c>
      <c r="I55" s="117"/>
      <c r="J55" s="476"/>
      <c r="K55" s="476"/>
      <c r="L55" s="478"/>
      <c r="M55" s="478"/>
      <c r="N55" s="478"/>
      <c r="O55" s="478"/>
      <c r="P55" s="475"/>
    </row>
    <row r="56" spans="2:16" ht="15" customHeight="1">
      <c r="B56" s="114"/>
      <c r="C56" s="133"/>
      <c r="D56" s="133"/>
      <c r="E56" s="133"/>
      <c r="F56" s="133"/>
      <c r="G56" s="463"/>
      <c r="H56" s="463"/>
      <c r="I56" s="132"/>
      <c r="J56" s="112"/>
      <c r="K56" s="112"/>
      <c r="L56" s="113"/>
      <c r="M56" s="113"/>
      <c r="N56" s="113"/>
      <c r="O56" s="113"/>
      <c r="P56" s="109"/>
    </row>
    <row r="57" spans="2:16">
      <c r="B57" s="1032"/>
      <c r="C57" s="1033"/>
      <c r="D57" s="1033"/>
      <c r="E57" s="1033"/>
      <c r="F57" s="1033"/>
      <c r="G57" s="1033"/>
      <c r="H57" s="1033"/>
    </row>
    <row r="58" spans="2:16">
      <c r="B58" s="916"/>
      <c r="C58" s="916"/>
      <c r="D58" s="916"/>
      <c r="E58" s="916"/>
      <c r="F58" s="916"/>
      <c r="G58" s="916"/>
      <c r="H58" s="916"/>
    </row>
    <row r="59" spans="2:16">
      <c r="B59" s="116" t="s">
        <v>664</v>
      </c>
      <c r="C59" s="916"/>
      <c r="D59" s="916"/>
      <c r="E59" s="916"/>
      <c r="F59" s="916"/>
      <c r="G59" s="916"/>
      <c r="H59" s="916"/>
    </row>
    <row r="60" spans="2:16">
      <c r="B60" s="985" t="s">
        <v>668</v>
      </c>
      <c r="C60" s="916"/>
      <c r="D60" s="916"/>
      <c r="E60" s="916"/>
      <c r="F60" s="916"/>
      <c r="G60" s="916"/>
      <c r="H60" s="986">
        <f>C36+C53</f>
        <v>653.618290890411</v>
      </c>
    </row>
    <row r="61" spans="2:16">
      <c r="B61" s="135" t="s">
        <v>667</v>
      </c>
      <c r="C61" s="916"/>
      <c r="D61" s="916"/>
      <c r="E61" s="916"/>
      <c r="F61" s="916"/>
      <c r="G61" s="916"/>
      <c r="H61" s="986">
        <f>D36+D53</f>
        <v>153.34421163413248</v>
      </c>
    </row>
    <row r="62" spans="2:16" ht="15" customHeight="1">
      <c r="B62" s="985" t="s">
        <v>669</v>
      </c>
      <c r="C62" s="469"/>
      <c r="D62" s="133"/>
      <c r="E62" s="444"/>
      <c r="F62" s="464"/>
      <c r="G62" s="442"/>
      <c r="H62" s="463">
        <f>F36+F53</f>
        <v>483.35919166730707</v>
      </c>
      <c r="I62" s="122"/>
      <c r="J62" s="112"/>
      <c r="K62" s="113"/>
      <c r="L62" s="113"/>
      <c r="M62" s="113"/>
      <c r="N62" s="113"/>
      <c r="O62" s="109"/>
    </row>
    <row r="63" spans="2:16" ht="15" customHeight="1">
      <c r="B63" s="831" t="s">
        <v>666</v>
      </c>
      <c r="C63" s="469"/>
      <c r="D63" s="469"/>
      <c r="E63" s="592"/>
      <c r="F63" s="464"/>
      <c r="G63" s="442"/>
      <c r="H63" s="848">
        <f>SUM(H60:H62)</f>
        <v>1290.3216941918504</v>
      </c>
      <c r="I63" s="404"/>
      <c r="J63" s="112"/>
      <c r="K63" s="113"/>
      <c r="L63" s="113"/>
      <c r="M63" s="113"/>
      <c r="N63" s="113"/>
      <c r="O63" s="109"/>
    </row>
    <row r="64" spans="2:16" ht="15" customHeight="1">
      <c r="B64" s="985" t="s">
        <v>680</v>
      </c>
      <c r="C64" s="469"/>
      <c r="D64" s="469"/>
      <c r="E64" s="469"/>
      <c r="F64" s="132"/>
      <c r="G64" s="442"/>
      <c r="H64" s="463">
        <f>C43</f>
        <v>1451.1309999999999</v>
      </c>
      <c r="I64" s="404"/>
      <c r="J64" s="112"/>
      <c r="K64" s="113"/>
      <c r="L64" s="113"/>
      <c r="M64" s="113"/>
      <c r="N64" s="113"/>
      <c r="O64" s="109"/>
    </row>
    <row r="65" spans="2:17" ht="15" customHeight="1">
      <c r="B65" s="985" t="s">
        <v>445</v>
      </c>
      <c r="C65" s="469"/>
      <c r="D65" s="469"/>
      <c r="E65" s="469"/>
      <c r="F65" s="132"/>
      <c r="G65" s="442"/>
      <c r="H65" s="463">
        <f>D43</f>
        <v>0.26569727024952072</v>
      </c>
      <c r="I65" s="404"/>
      <c r="J65" s="112"/>
      <c r="K65" s="113"/>
      <c r="L65" s="113"/>
      <c r="M65" s="113"/>
      <c r="N65" s="113"/>
      <c r="O65" s="109"/>
    </row>
    <row r="66" spans="2:17" ht="15" customHeight="1">
      <c r="B66" s="985" t="s">
        <v>670</v>
      </c>
      <c r="C66" s="469"/>
      <c r="D66" s="444"/>
      <c r="E66" s="469"/>
      <c r="F66" s="132"/>
      <c r="G66" s="132"/>
      <c r="H66" s="463">
        <f>F43</f>
        <v>174.23990999999998</v>
      </c>
      <c r="I66" s="404"/>
      <c r="J66" s="112"/>
      <c r="K66" s="113"/>
      <c r="L66" s="113"/>
      <c r="M66" s="113"/>
      <c r="N66" s="113"/>
      <c r="O66" s="109"/>
    </row>
    <row r="67" spans="2:17" ht="15" customHeight="1">
      <c r="B67" s="831" t="s">
        <v>671</v>
      </c>
      <c r="C67" s="43"/>
      <c r="D67" s="43"/>
      <c r="E67" s="832"/>
      <c r="F67" s="43"/>
      <c r="G67" s="43"/>
      <c r="H67" s="598">
        <f>SUM(H64:H66)</f>
        <v>1625.6366072702494</v>
      </c>
      <c r="I67" s="404"/>
      <c r="J67" s="112"/>
      <c r="K67" s="113"/>
      <c r="L67" s="113"/>
      <c r="M67" s="113"/>
      <c r="N67" s="113"/>
      <c r="O67" s="109"/>
    </row>
    <row r="68" spans="2:17" ht="15" customHeight="1">
      <c r="B68" s="833" t="s">
        <v>513</v>
      </c>
      <c r="C68" s="919"/>
      <c r="D68" s="919"/>
      <c r="E68" s="987"/>
      <c r="F68" s="988"/>
      <c r="G68" s="919"/>
      <c r="H68" s="818">
        <f>H63+H67</f>
        <v>2915.9583014620998</v>
      </c>
      <c r="I68" s="404"/>
      <c r="J68" s="112"/>
      <c r="K68" s="113"/>
      <c r="L68" s="113"/>
      <c r="M68" s="113"/>
      <c r="N68" s="113"/>
      <c r="O68" s="109"/>
    </row>
    <row r="69" spans="2:17" ht="15" customHeight="1">
      <c r="B69" s="985" t="s">
        <v>672</v>
      </c>
      <c r="C69" s="135"/>
      <c r="D69" s="135"/>
      <c r="E69" s="472"/>
      <c r="F69" s="135"/>
      <c r="G69" s="135"/>
      <c r="H69" s="989">
        <f>E36+E53</f>
        <v>339.78227653915411</v>
      </c>
      <c r="I69" s="404"/>
      <c r="J69" s="112"/>
      <c r="K69" s="113"/>
      <c r="L69" s="113"/>
      <c r="M69" s="113"/>
      <c r="N69" s="113"/>
      <c r="O69" s="109"/>
    </row>
    <row r="70" spans="2:17" ht="15" customHeight="1">
      <c r="B70" s="985" t="s">
        <v>673</v>
      </c>
      <c r="C70" s="135"/>
      <c r="D70" s="135"/>
      <c r="E70" s="472"/>
      <c r="F70" s="135"/>
      <c r="G70" s="135"/>
      <c r="H70" s="990">
        <f>E43</f>
        <v>1.4701704545454544</v>
      </c>
      <c r="I70" s="404"/>
      <c r="J70" s="112"/>
      <c r="K70" s="113"/>
      <c r="L70" s="113"/>
      <c r="M70" s="113"/>
      <c r="N70" s="113"/>
      <c r="O70" s="109"/>
    </row>
    <row r="71" spans="2:17" ht="15" customHeight="1">
      <c r="B71" s="837" t="s">
        <v>514</v>
      </c>
      <c r="C71" s="919"/>
      <c r="D71" s="919"/>
      <c r="E71" s="987"/>
      <c r="F71" s="988"/>
      <c r="G71" s="919"/>
      <c r="H71" s="819">
        <f>H69+H70</f>
        <v>341.25244699369955</v>
      </c>
      <c r="I71" s="404"/>
      <c r="J71" s="112"/>
      <c r="K71" s="113"/>
      <c r="L71" s="113"/>
      <c r="M71" s="113"/>
      <c r="N71" s="113"/>
      <c r="O71" s="109"/>
    </row>
    <row r="72" spans="2:17" ht="15" customHeight="1">
      <c r="B72" s="264"/>
      <c r="C72" s="469"/>
      <c r="D72" s="242"/>
      <c r="E72" s="469"/>
      <c r="F72" s="132"/>
      <c r="G72" s="132"/>
      <c r="H72" s="442"/>
      <c r="I72" s="404"/>
      <c r="J72" s="112"/>
      <c r="K72" s="113"/>
      <c r="L72" s="113"/>
      <c r="M72" s="113"/>
      <c r="N72" s="113"/>
      <c r="O72" s="109"/>
    </row>
    <row r="73" spans="2:17">
      <c r="B73" s="132"/>
      <c r="C73" s="469"/>
      <c r="D73" s="469"/>
      <c r="E73" s="469"/>
      <c r="F73" s="132"/>
      <c r="G73" s="442"/>
      <c r="H73" s="442"/>
      <c r="I73" s="404"/>
      <c r="J73" s="112"/>
      <c r="K73" s="111"/>
      <c r="L73" s="111"/>
      <c r="M73" s="111"/>
      <c r="N73" s="111"/>
      <c r="O73" s="109"/>
    </row>
    <row r="74" spans="2:17">
      <c r="B74" s="132"/>
      <c r="C74" s="133"/>
      <c r="D74" s="133"/>
      <c r="E74" s="133"/>
      <c r="F74" s="133"/>
      <c r="H74" s="243"/>
      <c r="I74" s="404"/>
      <c r="J74" s="112"/>
      <c r="K74" s="111"/>
      <c r="L74" s="111"/>
      <c r="M74" s="111"/>
      <c r="N74" s="111"/>
      <c r="O74" s="109"/>
    </row>
    <row r="75" spans="2:17">
      <c r="B75" s="132"/>
      <c r="C75" s="132"/>
      <c r="D75" s="265"/>
      <c r="E75" s="132"/>
      <c r="F75" s="132"/>
      <c r="G75" s="132"/>
      <c r="H75" s="265"/>
      <c r="I75" s="132"/>
      <c r="L75" s="109"/>
      <c r="M75" s="109"/>
      <c r="N75" s="109"/>
      <c r="O75" s="109"/>
      <c r="P75" s="109"/>
    </row>
    <row r="76" spans="2:17">
      <c r="B76" s="132"/>
      <c r="C76" s="132"/>
      <c r="D76" s="265"/>
      <c r="E76" s="132"/>
      <c r="F76" s="132"/>
      <c r="G76" s="132"/>
      <c r="H76" s="132"/>
      <c r="I76" s="265"/>
      <c r="J76" s="110"/>
      <c r="M76" s="109"/>
      <c r="N76" s="109"/>
      <c r="O76" s="109"/>
      <c r="P76" s="109"/>
      <c r="Q76"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80"/>
  <sheetViews>
    <sheetView showGridLines="0" view="pageLayout" topLeftCell="A24" workbookViewId="0">
      <selection activeCell="B44" sqref="B44"/>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Index'!B41</f>
        <v>Kohlrabi</v>
      </c>
      <c r="C2" s="221"/>
      <c r="D2" s="221"/>
      <c r="E2" s="221"/>
      <c r="I2" s="109"/>
      <c r="J2" s="109"/>
      <c r="K2" s="109"/>
      <c r="L2" s="109"/>
      <c r="M2" s="109"/>
      <c r="N2" s="109"/>
    </row>
    <row r="3" spans="2:19" ht="33.5"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7">
        <f>'BW1-Bed and Row Spacing'!J23</f>
        <v>6701.5384615384619</v>
      </c>
      <c r="F4" s="135"/>
      <c r="G4" s="135"/>
      <c r="H4" s="135"/>
      <c r="I4" s="226"/>
      <c r="J4" s="226"/>
      <c r="K4" s="226"/>
      <c r="L4" s="109"/>
      <c r="M4" s="110"/>
      <c r="N4" s="111"/>
      <c r="O4" s="112"/>
      <c r="P4" s="112"/>
      <c r="Q4" s="112"/>
      <c r="R4" s="112"/>
      <c r="S4" s="112"/>
    </row>
    <row r="5" spans="2:19">
      <c r="B5" s="915"/>
      <c r="C5" s="132" t="s">
        <v>366</v>
      </c>
      <c r="D5" s="916"/>
      <c r="E5" s="1338" t="s">
        <v>817</v>
      </c>
      <c r="F5" s="1338"/>
      <c r="G5" s="1338"/>
      <c r="H5" s="1338"/>
      <c r="I5" s="225"/>
      <c r="J5" s="225"/>
      <c r="K5" s="225"/>
      <c r="L5" s="127"/>
      <c r="M5" s="110"/>
      <c r="N5" s="111"/>
      <c r="O5" s="112"/>
      <c r="P5" s="112"/>
      <c r="Q5" s="112"/>
      <c r="R5" s="112"/>
      <c r="S5" s="112"/>
    </row>
    <row r="6" spans="2:19">
      <c r="B6" s="223"/>
      <c r="C6" s="915"/>
      <c r="D6" s="916"/>
      <c r="E6" s="1338"/>
      <c r="F6" s="1338"/>
      <c r="G6" s="1338"/>
      <c r="H6" s="1338"/>
      <c r="I6" s="225"/>
      <c r="J6" s="225"/>
      <c r="K6" s="225"/>
      <c r="L6" s="112"/>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5" customHeight="1">
      <c r="B11" s="921" t="s">
        <v>298</v>
      </c>
      <c r="C11" s="511"/>
      <c r="D11" s="519"/>
      <c r="E11" s="519"/>
      <c r="F11" s="525"/>
      <c r="G11" s="1335" t="s">
        <v>705</v>
      </c>
      <c r="H11" s="1335"/>
      <c r="I11" s="132"/>
      <c r="J11" s="112"/>
      <c r="K11" s="112"/>
      <c r="L11" s="113"/>
      <c r="M11" s="113"/>
      <c r="N11" s="113"/>
      <c r="O11" s="113"/>
      <c r="P11" s="109"/>
    </row>
    <row r="12" spans="2:19" ht="15" customHeight="1">
      <c r="B12" s="265" t="s">
        <v>145</v>
      </c>
      <c r="C12" s="512">
        <f>('BW2-Field Act. Labor &amp; Mach.'!$I$9)/2</f>
        <v>4.617235</v>
      </c>
      <c r="D12" s="520">
        <f>('BW2-Field Act. Labor &amp; Mach.'!K9)/2</f>
        <v>3.5813406372812948</v>
      </c>
      <c r="E12" s="520">
        <f>('BW2-Field Act. Labor &amp; Mach.'!L9)/2</f>
        <v>3.2848834445648656</v>
      </c>
      <c r="F12" s="526"/>
      <c r="G12" s="1336"/>
      <c r="H12" s="1336"/>
      <c r="I12" s="132"/>
      <c r="J12" s="112"/>
      <c r="K12" s="112"/>
      <c r="L12" s="113"/>
      <c r="M12" s="113"/>
      <c r="N12" s="113"/>
      <c r="O12" s="113"/>
      <c r="P12" s="109"/>
    </row>
    <row r="13" spans="2:19" ht="15" customHeight="1">
      <c r="B13" s="462" t="s">
        <v>45</v>
      </c>
      <c r="C13" s="512">
        <f>('BW2-Field Act. Labor &amp; Mach.'!$I$69)/2</f>
        <v>7.2556550000000009</v>
      </c>
      <c r="D13" s="520">
        <f>('BW2-Field Act. Labor &amp; Mach.'!K69)/2</f>
        <v>2.9523363870071488</v>
      </c>
      <c r="E13" s="520">
        <f>('BW2-Field Act. Labor &amp; Mach.'!L69)/2</f>
        <v>4.020790543150059</v>
      </c>
      <c r="F13" s="526"/>
      <c r="G13" s="1336"/>
      <c r="H13" s="1336"/>
      <c r="I13" s="132"/>
      <c r="J13" s="112"/>
      <c r="K13" s="112"/>
      <c r="L13" s="113"/>
      <c r="M13" s="113"/>
      <c r="N13" s="113"/>
      <c r="O13" s="113"/>
      <c r="P13" s="109"/>
    </row>
    <row r="14" spans="2:19" ht="15" customHeight="1">
      <c r="B14" s="500" t="str">
        <f>'BW3-Variable Input'!$B$34</f>
        <v>Summer cover crop seed</v>
      </c>
      <c r="C14" s="513"/>
      <c r="D14" s="521"/>
      <c r="E14" s="521"/>
      <c r="F14" s="527">
        <f>('BW3-Variable Input'!$C$34)/2</f>
        <v>16.173333333333336</v>
      </c>
      <c r="G14" s="1337"/>
      <c r="H14" s="1337"/>
      <c r="I14" s="132"/>
      <c r="J14" s="112"/>
      <c r="K14" s="112"/>
      <c r="L14" s="113"/>
      <c r="M14" s="113"/>
      <c r="N14" s="113"/>
      <c r="O14" s="113"/>
      <c r="P14" s="109"/>
    </row>
    <row r="15" spans="2:19">
      <c r="B15" s="264"/>
      <c r="C15" s="456"/>
      <c r="D15" s="456"/>
      <c r="E15" s="456"/>
      <c r="F15" s="456"/>
      <c r="G15" s="455"/>
      <c r="H15" s="464"/>
      <c r="I15" s="404"/>
      <c r="J15" s="110"/>
      <c r="K15" s="121"/>
      <c r="L15" s="112"/>
      <c r="M15" s="112"/>
      <c r="N15" s="112"/>
      <c r="O15" s="112"/>
      <c r="P15" s="112"/>
    </row>
    <row r="16" spans="2:19" ht="13" customHeight="1">
      <c r="B16" s="922" t="s">
        <v>181</v>
      </c>
      <c r="C16" s="514"/>
      <c r="D16" s="522"/>
      <c r="E16" s="522"/>
      <c r="F16" s="528"/>
      <c r="G16" s="509"/>
      <c r="H16" s="509"/>
      <c r="I16" s="132"/>
      <c r="J16" s="118"/>
      <c r="K16" s="112"/>
      <c r="L16" s="112"/>
      <c r="M16" s="112"/>
      <c r="N16" s="112"/>
      <c r="O16" s="112"/>
    </row>
    <row r="17" spans="2:15" ht="15" customHeight="1">
      <c r="B17" s="265" t="s">
        <v>145</v>
      </c>
      <c r="C17" s="512">
        <f>'BW2-Field Act. Labor &amp; Mach.'!I9</f>
        <v>9.23447</v>
      </c>
      <c r="D17" s="520">
        <f>'BW2-Field Act. Labor &amp; Mach.'!K9</f>
        <v>7.1626812745625896</v>
      </c>
      <c r="E17" s="520">
        <f>'BW2-Field Act. Labor &amp; Mach.'!L9</f>
        <v>6.5697668891297312</v>
      </c>
      <c r="F17" s="526"/>
      <c r="G17" s="465"/>
      <c r="H17" s="465"/>
      <c r="I17" s="28"/>
      <c r="J17" s="112"/>
      <c r="K17" s="118"/>
      <c r="L17" s="118"/>
      <c r="M17" s="112"/>
      <c r="N17" s="112"/>
      <c r="O17" s="112"/>
    </row>
    <row r="18" spans="2:15" ht="15" customHeight="1">
      <c r="B18" s="132" t="s">
        <v>46</v>
      </c>
      <c r="C18" s="512">
        <f>'BW2-Field Act. Labor &amp; Mach.'!I10</f>
        <v>11.87289</v>
      </c>
      <c r="D18" s="520">
        <f>'BW2-Field Act. Labor &amp; Mach.'!K10</f>
        <v>16.900081383311999</v>
      </c>
      <c r="E18" s="520">
        <f>'BW2-Field Act. Labor &amp; Mach.'!L10</f>
        <v>23.703168100043012</v>
      </c>
      <c r="F18" s="526"/>
      <c r="G18" s="133"/>
      <c r="H18" s="465"/>
      <c r="I18" s="28"/>
      <c r="J18" s="112"/>
      <c r="K18" s="112"/>
      <c r="L18" s="112"/>
      <c r="M18" s="118"/>
      <c r="N18" s="112"/>
      <c r="O18" s="112"/>
    </row>
    <row r="19" spans="2:15" ht="15" customHeight="1">
      <c r="B19" s="151" t="s">
        <v>69</v>
      </c>
      <c r="C19" s="512"/>
      <c r="D19" s="520"/>
      <c r="E19" s="520"/>
      <c r="F19" s="526">
        <f>'BW3-Variable Input'!C9</f>
        <v>116.66666666666667</v>
      </c>
      <c r="G19" s="133"/>
      <c r="H19" s="465"/>
      <c r="I19" s="28"/>
      <c r="J19" s="112"/>
      <c r="K19" s="112"/>
      <c r="L19" s="112"/>
      <c r="M19" s="118"/>
      <c r="N19" s="112"/>
      <c r="O19" s="112"/>
    </row>
    <row r="20" spans="2:15" ht="15" customHeight="1">
      <c r="B20" s="132" t="s">
        <v>11</v>
      </c>
      <c r="C20" s="512">
        <f>'BW2-Field Act. Labor &amp; Mach.'!I13</f>
        <v>22.426569999999998</v>
      </c>
      <c r="D20" s="520">
        <f>'BW2-Field Act. Labor &amp; Mach.'!K13</f>
        <v>17.993866831056</v>
      </c>
      <c r="E20" s="520">
        <f>'BW2-Field Act. Labor &amp; Mach.'!L13</f>
        <v>44.771770188886023</v>
      </c>
      <c r="F20" s="526"/>
      <c r="G20" s="133"/>
      <c r="H20" s="463"/>
      <c r="I20" s="28"/>
      <c r="J20" s="112"/>
      <c r="K20" s="112"/>
      <c r="L20" s="112"/>
      <c r="M20" s="118"/>
      <c r="N20" s="112"/>
      <c r="O20" s="112"/>
    </row>
    <row r="21" spans="2:15" ht="15" customHeight="1">
      <c r="B21" s="132" t="s">
        <v>12</v>
      </c>
      <c r="C21" s="512">
        <f>'BW2-Field Act. Labor &amp; Mach.'!I14</f>
        <v>10.55368</v>
      </c>
      <c r="D21" s="520">
        <f>'BW2-Field Act. Labor &amp; Mach.'!K14</f>
        <v>9.2140341759999984</v>
      </c>
      <c r="E21" s="520">
        <f>'BW2-Field Act. Labor &amp; Mach.'!L14</f>
        <v>29.935417361494395</v>
      </c>
      <c r="F21" s="526"/>
      <c r="G21" s="133"/>
      <c r="H21" s="463"/>
      <c r="I21" s="28"/>
      <c r="J21" s="112"/>
      <c r="K21" s="112"/>
      <c r="L21" s="112"/>
      <c r="M21" s="112"/>
      <c r="N21" s="112"/>
      <c r="O21" s="112"/>
    </row>
    <row r="22" spans="2:15" ht="15" customHeight="1">
      <c r="B22" s="132" t="s">
        <v>144</v>
      </c>
      <c r="C22" s="512">
        <f>'BW2-Field Act. Labor &amp; Mach.'!I15</f>
        <v>59.364449999999998</v>
      </c>
      <c r="D22" s="520">
        <f>'BW2-Field Act. Labor &amp; Mach.'!K15</f>
        <v>11.732543673988348</v>
      </c>
      <c r="E22" s="520">
        <f>'BW2-Field Act. Labor &amp; Mach.'!L15</f>
        <v>19.938595491388046</v>
      </c>
      <c r="F22" s="526"/>
      <c r="G22" s="133"/>
      <c r="H22" s="463"/>
      <c r="I22" s="28"/>
      <c r="J22" s="112"/>
      <c r="K22" s="112"/>
      <c r="L22" s="112"/>
      <c r="M22" s="112"/>
      <c r="N22" s="112"/>
      <c r="O22" s="112"/>
    </row>
    <row r="23" spans="2:15" ht="15" customHeight="1">
      <c r="B23" s="151" t="s">
        <v>313</v>
      </c>
      <c r="C23" s="512"/>
      <c r="D23" s="520"/>
      <c r="E23" s="520"/>
      <c r="F23" s="526">
        <f>'BW3-Variable Input'!C23</f>
        <v>125.09538461538463</v>
      </c>
      <c r="G23" s="133"/>
      <c r="H23" s="463"/>
      <c r="I23" s="28"/>
      <c r="J23" s="118"/>
      <c r="K23" s="118"/>
      <c r="L23" s="118"/>
      <c r="M23" s="112"/>
      <c r="N23" s="112"/>
      <c r="O23" s="112"/>
    </row>
    <row r="24" spans="2:15" ht="15" customHeight="1">
      <c r="B24" s="416" t="s">
        <v>192</v>
      </c>
      <c r="C24" s="513">
        <f>'BW2-Field Act. Labor &amp; Mach.'!I16*2</f>
        <v>21.10736</v>
      </c>
      <c r="D24" s="521">
        <f>'BW2-Field Act. Labor &amp; Mach.'!K16*2</f>
        <v>12.051200395575469</v>
      </c>
      <c r="E24" s="521">
        <f>'BW2-Field Act. Labor &amp; Mach.'!L16*2</f>
        <v>17.332156747393537</v>
      </c>
      <c r="F24" s="527"/>
      <c r="G24" s="486"/>
      <c r="H24" s="485"/>
      <c r="I24" s="28"/>
      <c r="J24" s="112"/>
      <c r="K24" s="112"/>
      <c r="L24" s="112"/>
      <c r="M24" s="112"/>
      <c r="N24" s="112"/>
      <c r="O24" s="112"/>
    </row>
    <row r="25" spans="2:15" ht="15" customHeight="1">
      <c r="B25" s="132"/>
      <c r="C25" s="133"/>
      <c r="D25" s="133"/>
      <c r="E25" s="133"/>
      <c r="F25" s="133"/>
      <c r="G25" s="133"/>
      <c r="H25" s="466"/>
      <c r="I25" s="28"/>
      <c r="J25" s="112"/>
      <c r="K25" s="112"/>
      <c r="L25" s="112"/>
      <c r="M25" s="112"/>
      <c r="N25" s="112"/>
      <c r="O25" s="112"/>
    </row>
    <row r="26" spans="2:15" ht="15" customHeight="1">
      <c r="B26" s="921" t="s">
        <v>10</v>
      </c>
      <c r="C26" s="515"/>
      <c r="D26" s="438"/>
      <c r="E26" s="438"/>
      <c r="F26" s="529"/>
      <c r="G26" s="422"/>
      <c r="H26" s="494"/>
      <c r="I26" s="28"/>
      <c r="J26" s="112"/>
      <c r="K26" s="112"/>
      <c r="L26" s="112"/>
      <c r="M26" s="112"/>
      <c r="N26" s="112"/>
      <c r="O26" s="112"/>
    </row>
    <row r="27" spans="2:15" ht="15" customHeight="1">
      <c r="B27" s="132" t="str">
        <f>'BW2-Field Act. Labor &amp; Mach.'!B21</f>
        <v>Transplant on bareground</v>
      </c>
      <c r="C27" s="516">
        <f>'BW2-Field Act. Labor &amp; Mach.'!I21</f>
        <v>237.45779999999999</v>
      </c>
      <c r="D27" s="520">
        <f>'BW2-Field Act. Labor &amp; Mach.'!K21</f>
        <v>36.893392063675897</v>
      </c>
      <c r="E27" s="520">
        <f>'BW2-Field Act. Labor &amp; Mach.'!L21</f>
        <v>114.11450861195542</v>
      </c>
      <c r="F27" s="526"/>
      <c r="G27" s="133"/>
      <c r="H27" s="463"/>
      <c r="I27" s="132"/>
      <c r="J27" s="112"/>
      <c r="K27" s="112"/>
      <c r="L27" s="112"/>
      <c r="M27" s="112"/>
      <c r="N27" s="112"/>
      <c r="O27" s="112"/>
    </row>
    <row r="28" spans="2:15" ht="15" customHeight="1">
      <c r="B28" s="151" t="s">
        <v>685</v>
      </c>
      <c r="C28" s="512"/>
      <c r="D28" s="520"/>
      <c r="E28" s="520"/>
      <c r="F28" s="526">
        <f>'BW4-Transplant Production'!F15</f>
        <v>115.14583384615389</v>
      </c>
      <c r="G28" s="1029" t="s">
        <v>720</v>
      </c>
      <c r="H28" s="463"/>
      <c r="I28" s="28"/>
      <c r="J28" s="112"/>
      <c r="K28" s="112"/>
      <c r="L28" s="112"/>
      <c r="M28" s="112"/>
      <c r="N28" s="112"/>
      <c r="O28" s="112"/>
    </row>
    <row r="29" spans="2:15" ht="15" customHeight="1">
      <c r="B29" s="151" t="s">
        <v>459</v>
      </c>
      <c r="C29" s="512">
        <f>'BW4-Transplant Production'!D15</f>
        <v>625.77216504126625</v>
      </c>
      <c r="D29" s="520"/>
      <c r="E29" s="520"/>
      <c r="F29" s="526">
        <f>'BW4-Transplant Production'!J42</f>
        <v>365.47419085079719</v>
      </c>
      <c r="G29" s="1029" t="s">
        <v>720</v>
      </c>
      <c r="H29" s="463"/>
      <c r="I29" s="28"/>
      <c r="J29" s="112"/>
      <c r="K29" s="112"/>
      <c r="L29" s="112"/>
      <c r="M29" s="112"/>
      <c r="N29" s="112"/>
      <c r="O29" s="112"/>
    </row>
    <row r="30" spans="2:15" ht="15" customHeight="1">
      <c r="B30" s="418" t="s">
        <v>315</v>
      </c>
      <c r="C30" s="513"/>
      <c r="D30" s="521"/>
      <c r="E30" s="521"/>
      <c r="F30" s="527">
        <f>'BW3-Variable Input'!C10</f>
        <v>124</v>
      </c>
      <c r="G30" s="486"/>
      <c r="H30" s="485"/>
      <c r="I30" s="132"/>
      <c r="J30" s="112"/>
      <c r="K30" s="112"/>
      <c r="L30" s="112"/>
      <c r="M30" s="112"/>
      <c r="N30" s="112"/>
      <c r="O30" s="112"/>
    </row>
    <row r="31" spans="2:15" ht="15" customHeight="1">
      <c r="B31" s="132"/>
      <c r="C31" s="133"/>
      <c r="D31" s="133"/>
      <c r="E31" s="133"/>
      <c r="F31" s="133"/>
      <c r="G31" s="133"/>
      <c r="H31" s="466"/>
      <c r="I31" s="132"/>
      <c r="J31" s="112"/>
      <c r="K31" s="112"/>
      <c r="L31" s="112"/>
      <c r="M31" s="112"/>
      <c r="N31" s="112"/>
      <c r="O31" s="112"/>
    </row>
    <row r="32" spans="2:15" ht="15" customHeight="1">
      <c r="B32" s="921" t="s">
        <v>37</v>
      </c>
      <c r="C32" s="515"/>
      <c r="D32" s="438"/>
      <c r="E32" s="438"/>
      <c r="F32" s="529"/>
      <c r="G32" s="422"/>
      <c r="H32" s="494"/>
      <c r="I32" s="132"/>
      <c r="J32" s="112"/>
      <c r="K32" s="112"/>
      <c r="L32" s="112"/>
      <c r="M32" s="112"/>
      <c r="N32" s="112"/>
      <c r="O32" s="112"/>
    </row>
    <row r="33" spans="2:19" ht="15" customHeight="1">
      <c r="B33" s="462" t="s">
        <v>179</v>
      </c>
      <c r="C33" s="512">
        <f>'BW2-Field Act. Labor &amp; Mach.'!$I$31*2</f>
        <v>10.55368</v>
      </c>
      <c r="D33" s="520">
        <f>'BW2-Field Act. Labor &amp; Mach.'!K31*2</f>
        <v>1.6570295666513035</v>
      </c>
      <c r="E33" s="520">
        <f>'BW2-Field Act. Labor &amp; Mach.'!L31*2</f>
        <v>27.363002680965153</v>
      </c>
      <c r="F33" s="526"/>
      <c r="G33" s="133"/>
      <c r="H33" s="133"/>
      <c r="I33" s="132"/>
      <c r="J33" s="112"/>
      <c r="K33" s="118"/>
      <c r="L33" s="112"/>
      <c r="M33" s="112"/>
      <c r="N33" s="112"/>
      <c r="O33" s="112"/>
    </row>
    <row r="34" spans="2:19" ht="15" customHeight="1">
      <c r="B34" s="151" t="str">
        <f>'BW5-Irrigation'!$B$8</f>
        <v>Irrigation supply cost</v>
      </c>
      <c r="C34" s="512"/>
      <c r="D34" s="520"/>
      <c r="E34" s="520"/>
      <c r="F34" s="526">
        <f>'BW5-Irrigation'!$E$8</f>
        <v>32.773534158149545</v>
      </c>
      <c r="G34" s="1029" t="s">
        <v>851</v>
      </c>
      <c r="H34" s="133"/>
      <c r="I34" s="132"/>
      <c r="J34" s="112"/>
      <c r="K34" s="118"/>
      <c r="L34" s="112"/>
      <c r="M34" s="112"/>
      <c r="N34" s="112"/>
      <c r="O34" s="112"/>
    </row>
    <row r="35" spans="2:19" ht="15" customHeight="1">
      <c r="B35" s="132" t="str">
        <f>'BW5-Irrigation'!$B$9</f>
        <v>Irrigation set-up labor cost</v>
      </c>
      <c r="C35" s="512">
        <f>'BW5-Irrigation'!$E$9</f>
        <v>50.735370890410955</v>
      </c>
      <c r="D35" s="520"/>
      <c r="E35" s="520"/>
      <c r="F35" s="526"/>
      <c r="G35" s="1029" t="s">
        <v>851</v>
      </c>
      <c r="H35" s="133"/>
      <c r="I35" s="132"/>
      <c r="J35" s="112"/>
      <c r="K35" s="118"/>
      <c r="L35" s="112"/>
      <c r="M35" s="112"/>
      <c r="N35" s="112"/>
      <c r="O35" s="112"/>
    </row>
    <row r="36" spans="2:19" ht="15" customHeight="1">
      <c r="B36" s="132" t="s">
        <v>184</v>
      </c>
      <c r="C36" s="512">
        <f>'BW2-Field Act. Labor &amp; Mach.'!I39*'BW5-Irrigation'!C28</f>
        <v>126.64416</v>
      </c>
      <c r="D36" s="520"/>
      <c r="E36" s="520"/>
      <c r="F36" s="526"/>
      <c r="G36" s="133"/>
      <c r="H36" s="463"/>
      <c r="I36" s="115"/>
      <c r="J36" s="118"/>
      <c r="K36" s="118"/>
      <c r="L36" s="118"/>
      <c r="M36" s="112"/>
      <c r="N36" s="112"/>
      <c r="O36" s="112"/>
    </row>
    <row r="37" spans="2:19" ht="15" customHeight="1">
      <c r="B37" s="462" t="s">
        <v>230</v>
      </c>
      <c r="C37" s="517">
        <v>6.6</v>
      </c>
      <c r="D37" s="523">
        <f>'BW2-Field Act. Labor &amp; Mach.'!K32</f>
        <v>0.70423756582680397</v>
      </c>
      <c r="E37" s="523">
        <f>'BW2-Field Act. Labor &amp; Mach.'!L32</f>
        <v>11.629276139410191</v>
      </c>
      <c r="F37" s="530"/>
      <c r="G37" s="133"/>
      <c r="H37" s="463"/>
      <c r="I37" s="115"/>
      <c r="J37" s="112"/>
      <c r="K37" s="118"/>
      <c r="L37" s="112"/>
      <c r="M37" s="112"/>
      <c r="N37" s="112"/>
      <c r="O37" s="112"/>
    </row>
    <row r="38" spans="2:19" ht="15" customHeight="1">
      <c r="B38" s="482" t="s">
        <v>308</v>
      </c>
      <c r="C38" s="517"/>
      <c r="D38" s="523"/>
      <c r="E38" s="523"/>
      <c r="F38" s="530">
        <v>8.8000000000000007</v>
      </c>
      <c r="G38" s="133"/>
      <c r="H38" s="463"/>
      <c r="I38" s="115"/>
      <c r="J38" s="118"/>
      <c r="K38" s="118"/>
      <c r="L38" s="118"/>
      <c r="M38" s="112"/>
      <c r="N38" s="112"/>
      <c r="O38" s="112"/>
    </row>
    <row r="39" spans="2:19" ht="15" customHeight="1">
      <c r="B39" s="462" t="s">
        <v>194</v>
      </c>
      <c r="C39" s="512">
        <f>'BW2-Field Act. Labor &amp; Mach.'!I28*2</f>
        <v>21.10736</v>
      </c>
      <c r="D39" s="520">
        <f>'BW2-Field Act. Labor &amp; Mach.'!K28*2</f>
        <v>8.7132183142146751</v>
      </c>
      <c r="E39" s="520">
        <f>'BW2-Field Act. Labor &amp; Mach.'!L28*2</f>
        <v>23.101468332237562</v>
      </c>
      <c r="F39" s="526"/>
      <c r="G39" s="133"/>
      <c r="H39" s="463"/>
      <c r="I39" s="115"/>
      <c r="J39" s="112"/>
      <c r="K39" s="118"/>
      <c r="L39" s="112"/>
      <c r="M39" s="112"/>
      <c r="N39" s="112"/>
      <c r="O39" s="112"/>
    </row>
    <row r="40" spans="2:19" ht="15" customHeight="1">
      <c r="B40" s="462" t="str">
        <f>'BW2-Field Act. Labor &amp; Mach.'!$B$34</f>
        <v>Scuffle hoe</v>
      </c>
      <c r="C40" s="512">
        <f>'BW2-Field Act. Labor &amp; Mach.'!$I$34</f>
        <v>98.940749999999994</v>
      </c>
      <c r="D40" s="520"/>
      <c r="E40" s="520"/>
      <c r="F40" s="526"/>
      <c r="G40" s="473"/>
      <c r="H40" s="479"/>
      <c r="I40" s="479"/>
      <c r="J40" s="228"/>
      <c r="K40"/>
      <c r="L40"/>
      <c r="M40"/>
      <c r="N40"/>
      <c r="O40"/>
      <c r="P40"/>
      <c r="Q40"/>
      <c r="R40"/>
      <c r="S40"/>
    </row>
    <row r="41" spans="2:19" ht="15" customHeight="1">
      <c r="B41" s="493" t="s">
        <v>180</v>
      </c>
      <c r="C41" s="513">
        <f>'BW2-Field Act. Labor &amp; Mach.'!I29*2</f>
        <v>63.32208</v>
      </c>
      <c r="D41" s="521">
        <f>'BW2-Field Act. Labor &amp; Mach.'!K29*2</f>
        <v>18.849340278005133</v>
      </c>
      <c r="E41" s="521">
        <f>'BW2-Field Act. Labor &amp; Mach.'!L29*2</f>
        <v>51.654848024316109</v>
      </c>
      <c r="F41" s="527"/>
      <c r="G41" s="486"/>
      <c r="H41" s="485"/>
      <c r="I41" s="132"/>
      <c r="J41" s="112"/>
      <c r="K41" s="112"/>
      <c r="L41" s="113"/>
      <c r="M41" s="113"/>
      <c r="N41" s="113"/>
      <c r="O41" s="113"/>
      <c r="P41" s="109"/>
    </row>
    <row r="42" spans="2:19" s="453" customFormat="1" ht="15" customHeight="1">
      <c r="B42" s="824" t="s">
        <v>508</v>
      </c>
      <c r="C42" s="444">
        <f>SUM(C12:C14, C17:C24, C27:C30,C33:C41)</f>
        <v>1387.5656759316769</v>
      </c>
      <c r="D42" s="444">
        <f>SUM(D12:D14, D17:D24, D27:D30,D33:D41)</f>
        <v>148.40530254715668</v>
      </c>
      <c r="E42" s="444">
        <f>SUM(E12:E14, E17:E24, E27:E30,E33:E41)</f>
        <v>377.41965255493409</v>
      </c>
      <c r="F42" s="444">
        <f>SUM(F12:F14, F17:F24, F27:F30,F33:F41)</f>
        <v>904.1289434704853</v>
      </c>
      <c r="G42" s="445" t="s">
        <v>4</v>
      </c>
      <c r="H42" s="446">
        <f>SUM(C42:F42)</f>
        <v>2817.5195745042529</v>
      </c>
      <c r="I42" s="117"/>
      <c r="J42" s="476"/>
      <c r="K42" s="476"/>
      <c r="L42" s="477"/>
      <c r="M42" s="477"/>
      <c r="N42" s="477"/>
      <c r="O42" s="477"/>
      <c r="P42" s="475"/>
    </row>
    <row r="43" spans="2:19" s="120" customFormat="1" ht="15" customHeight="1">
      <c r="B43" s="593"/>
      <c r="C43" s="133"/>
      <c r="D43" s="133"/>
      <c r="E43" s="133"/>
      <c r="F43" s="133"/>
      <c r="G43" s="924"/>
      <c r="H43" s="265"/>
    </row>
    <row r="44" spans="2:19" s="119" customFormat="1" ht="15" customHeight="1">
      <c r="B44" s="116" t="s">
        <v>914</v>
      </c>
      <c r="C44" s="133"/>
      <c r="D44" s="133"/>
      <c r="E44" s="133"/>
      <c r="F44" s="133"/>
      <c r="G44" s="924"/>
      <c r="H44" s="265"/>
      <c r="I44" s="120"/>
    </row>
    <row r="45" spans="2:19" ht="15" customHeight="1">
      <c r="B45" s="921" t="s">
        <v>3</v>
      </c>
      <c r="C45" s="514"/>
      <c r="D45" s="522"/>
      <c r="E45" s="522"/>
      <c r="F45" s="528"/>
      <c r="G45" s="983"/>
      <c r="H45" s="491"/>
      <c r="I45" s="265"/>
      <c r="J45" s="118"/>
      <c r="K45" s="112"/>
      <c r="L45" s="111"/>
      <c r="M45" s="111"/>
      <c r="N45" s="111"/>
      <c r="O45" s="111"/>
      <c r="P45" s="109"/>
    </row>
    <row r="46" spans="2:19" ht="15" customHeight="1">
      <c r="B46" s="132" t="s">
        <v>182</v>
      </c>
      <c r="C46" s="512">
        <f>'BW6-Harvest and Wash-Pack'!D23</f>
        <v>434.82627388888886</v>
      </c>
      <c r="D46" s="520">
        <f>'BW2-Field Act. Labor &amp; Mach.'!K54</f>
        <v>0.13284863512476036</v>
      </c>
      <c r="E46" s="520">
        <f>'BW2-Field Act. Labor &amp; Mach.'!L54</f>
        <v>0.73508522727272718</v>
      </c>
      <c r="F46" s="526"/>
      <c r="G46" s="1029" t="s">
        <v>852</v>
      </c>
      <c r="H46" s="265"/>
      <c r="I46" s="265"/>
      <c r="J46" s="118"/>
      <c r="K46" s="112"/>
      <c r="L46" s="113"/>
      <c r="M46" s="113"/>
      <c r="N46" s="113"/>
      <c r="O46" s="113"/>
      <c r="P46" s="109"/>
    </row>
    <row r="47" spans="2:19" ht="15" customHeight="1">
      <c r="B47" s="489" t="s">
        <v>349</v>
      </c>
      <c r="C47" s="513">
        <f>'BW6-Harvest and Wash-Pack'!F23</f>
        <v>131.92099999999999</v>
      </c>
      <c r="D47" s="521"/>
      <c r="E47" s="521"/>
      <c r="F47" s="527"/>
      <c r="G47" s="1030" t="s">
        <v>852</v>
      </c>
      <c r="H47" s="492"/>
      <c r="I47" s="265"/>
      <c r="J47" s="118"/>
      <c r="K47" s="112"/>
      <c r="L47" s="113"/>
      <c r="M47" s="113"/>
      <c r="N47" s="113"/>
      <c r="O47" s="113"/>
      <c r="P47" s="109"/>
    </row>
    <row r="48" spans="2:19" s="453" customFormat="1" ht="15" customHeight="1">
      <c r="B48" s="824" t="s">
        <v>508</v>
      </c>
      <c r="C48" s="444">
        <f>SUM(C46:C47)</f>
        <v>566.74727388888891</v>
      </c>
      <c r="D48" s="444">
        <f>SUM(D46:D47)</f>
        <v>0.13284863512476036</v>
      </c>
      <c r="E48" s="444">
        <f>SUM(E46:E47)</f>
        <v>0.73508522727272718</v>
      </c>
      <c r="F48" s="444">
        <f>SUM(F46:F47)</f>
        <v>0</v>
      </c>
      <c r="G48" s="445" t="s">
        <v>4</v>
      </c>
      <c r="H48" s="446">
        <f>SUM(C48:F48)</f>
        <v>567.61520775128645</v>
      </c>
      <c r="I48" s="117"/>
      <c r="J48" s="476"/>
      <c r="K48" s="476"/>
      <c r="L48" s="477"/>
      <c r="M48" s="477"/>
      <c r="N48" s="477"/>
      <c r="O48" s="477"/>
      <c r="P48" s="475"/>
    </row>
    <row r="49" spans="2:16" s="120" customFormat="1" ht="15" customHeight="1">
      <c r="B49" s="593"/>
      <c r="C49" s="133"/>
      <c r="D49" s="133"/>
      <c r="E49" s="133"/>
      <c r="F49" s="133"/>
      <c r="G49" s="924"/>
      <c r="H49" s="265"/>
    </row>
    <row r="50" spans="2:16" s="119" customFormat="1" ht="15" customHeight="1">
      <c r="B50" s="116" t="s">
        <v>662</v>
      </c>
      <c r="C50" s="133"/>
      <c r="D50" s="133"/>
      <c r="E50" s="133"/>
      <c r="F50" s="133"/>
      <c r="G50" s="924"/>
      <c r="H50" s="265"/>
    </row>
    <row r="51" spans="2:16" ht="15" customHeight="1">
      <c r="B51" s="921" t="s">
        <v>663</v>
      </c>
      <c r="C51" s="515"/>
      <c r="D51" s="438"/>
      <c r="E51" s="438"/>
      <c r="F51" s="529"/>
      <c r="G51" s="494"/>
      <c r="H51" s="494"/>
      <c r="I51" s="132"/>
      <c r="J51" s="112"/>
      <c r="K51" s="112"/>
      <c r="L51" s="113"/>
      <c r="M51" s="113"/>
      <c r="N51" s="113"/>
      <c r="O51" s="113"/>
      <c r="P51" s="109"/>
    </row>
    <row r="52" spans="2:16" ht="15" customHeight="1">
      <c r="B52" s="462" t="s">
        <v>43</v>
      </c>
      <c r="C52" s="512">
        <f>'BW2-Field Act. Labor &amp; Mach.'!$I$66</f>
        <v>5.27684</v>
      </c>
      <c r="D52" s="520">
        <f>'BW2-Field Act. Labor &amp; Mach.'!K66</f>
        <v>4.7393418269465482</v>
      </c>
      <c r="E52" s="520">
        <f>'BW2-Field Act. Labor &amp; Mach.'!L66</f>
        <v>4.8215303303156709</v>
      </c>
      <c r="F52" s="526"/>
      <c r="G52" s="463"/>
      <c r="H52" s="463"/>
      <c r="I52" s="132"/>
      <c r="J52" s="118"/>
      <c r="K52" s="112"/>
      <c r="L52" s="113"/>
      <c r="M52" s="113"/>
      <c r="N52" s="113"/>
      <c r="O52" s="113"/>
      <c r="P52" s="109"/>
    </row>
    <row r="53" spans="2:16" ht="15" customHeight="1">
      <c r="B53" s="132" t="s">
        <v>150</v>
      </c>
      <c r="C53" s="512">
        <f>'BW2-Field Act. Labor &amp; Mach.'!$I$65</f>
        <v>42.21472</v>
      </c>
      <c r="D53" s="520">
        <f>'BW2-Field Act. Labor &amp; Mach.'!K65</f>
        <v>3.4075700159999998</v>
      </c>
      <c r="E53" s="520">
        <f>'BW2-Field Act. Labor &amp; Mach.'!L65</f>
        <v>2.89283314099518</v>
      </c>
      <c r="F53" s="526"/>
      <c r="G53" s="463"/>
      <c r="H53" s="463"/>
      <c r="I53" s="115"/>
      <c r="J53" s="118"/>
      <c r="K53" s="112"/>
      <c r="L53" s="113"/>
      <c r="M53" s="113"/>
      <c r="N53" s="113"/>
      <c r="O53" s="113"/>
      <c r="P53" s="109"/>
    </row>
    <row r="54" spans="2:16" ht="15" customHeight="1">
      <c r="B54" s="462" t="s">
        <v>44</v>
      </c>
      <c r="C54" s="512">
        <f>'BW2-Field Act. Labor &amp; Mach.'!$I$67</f>
        <v>5.27684</v>
      </c>
      <c r="D54" s="520">
        <f>'BW2-Field Act. Labor &amp; Mach.'!K67</f>
        <v>4.5754035882945541</v>
      </c>
      <c r="E54" s="520">
        <f>'BW2-Field Act. Labor &amp; Mach.'!L67</f>
        <v>8.7882358546602415</v>
      </c>
      <c r="F54" s="526"/>
      <c r="G54" s="463"/>
      <c r="H54" s="463"/>
      <c r="I54" s="132"/>
      <c r="J54" s="112"/>
      <c r="K54" s="112"/>
      <c r="L54" s="113"/>
      <c r="M54" s="113"/>
      <c r="N54" s="113"/>
      <c r="O54" s="113"/>
      <c r="P54" s="109"/>
    </row>
    <row r="55" spans="2:16" ht="15" customHeight="1">
      <c r="B55" s="462" t="s">
        <v>45</v>
      </c>
      <c r="C55" s="512">
        <f>'BW2-Field Act. Labor &amp; Mach.'!$I$69</f>
        <v>14.511310000000002</v>
      </c>
      <c r="D55" s="520">
        <f>'BW2-Field Act. Labor &amp; Mach.'!K69</f>
        <v>5.9046727740142977</v>
      </c>
      <c r="E55" s="520">
        <f>'BW2-Field Act. Labor &amp; Mach.'!L69</f>
        <v>8.041581086300118</v>
      </c>
      <c r="F55" s="526"/>
      <c r="G55" s="463"/>
      <c r="H55" s="463"/>
      <c r="I55" s="132"/>
      <c r="J55" s="112"/>
      <c r="K55" s="112"/>
      <c r="L55" s="113"/>
      <c r="M55" s="113"/>
      <c r="N55" s="113"/>
      <c r="O55" s="113"/>
      <c r="P55" s="109"/>
    </row>
    <row r="56" spans="2:16" ht="15" customHeight="1">
      <c r="B56" s="500" t="str">
        <f>'BW3-Variable Input'!$B$33</f>
        <v>Winter cover crop seed</v>
      </c>
      <c r="C56" s="513"/>
      <c r="D56" s="521"/>
      <c r="E56" s="521"/>
      <c r="F56" s="527">
        <f>'BW3-Variable Input'!$C$33</f>
        <v>31.793452380952385</v>
      </c>
      <c r="G56" s="485"/>
      <c r="H56" s="485"/>
      <c r="I56" s="115"/>
      <c r="J56" s="118"/>
      <c r="K56" s="112"/>
      <c r="L56" s="113"/>
      <c r="M56" s="113"/>
      <c r="N56" s="113"/>
      <c r="O56" s="113"/>
      <c r="P56" s="109"/>
    </row>
    <row r="57" spans="2:16" s="453" customFormat="1" ht="15" customHeight="1">
      <c r="B57" s="824" t="s">
        <v>508</v>
      </c>
      <c r="C57" s="444">
        <f>SUM(C52:C56)</f>
        <v>67.279709999999994</v>
      </c>
      <c r="D57" s="444">
        <f>SUM(D52:D56)</f>
        <v>18.626988205255401</v>
      </c>
      <c r="E57" s="444">
        <f>SUM(E52:E56)</f>
        <v>24.54418041227121</v>
      </c>
      <c r="F57" s="444">
        <f>SUM(F52:F56)</f>
        <v>31.793452380952385</v>
      </c>
      <c r="G57" s="447" t="s">
        <v>4</v>
      </c>
      <c r="H57" s="446">
        <f>SUM(C57:F57)</f>
        <v>142.24433099847897</v>
      </c>
      <c r="I57" s="117"/>
      <c r="J57" s="476"/>
      <c r="K57" s="476"/>
      <c r="L57" s="478"/>
      <c r="M57" s="478"/>
      <c r="N57" s="478"/>
      <c r="O57" s="478"/>
      <c r="P57" s="475"/>
    </row>
    <row r="58" spans="2:16" s="120" customFormat="1" ht="15" customHeight="1">
      <c r="B58" s="593"/>
      <c r="C58" s="133"/>
      <c r="D58" s="133"/>
      <c r="E58" s="133"/>
      <c r="F58" s="133"/>
      <c r="G58" s="463"/>
      <c r="H58" s="463"/>
      <c r="I58" s="115"/>
      <c r="J58" s="825"/>
      <c r="K58" s="127"/>
      <c r="L58" s="113"/>
      <c r="M58" s="113"/>
      <c r="N58" s="113"/>
      <c r="O58" s="113"/>
    </row>
    <row r="59" spans="2:16" s="453" customFormat="1" ht="15" customHeight="1">
      <c r="B59" s="116" t="s">
        <v>515</v>
      </c>
      <c r="C59" s="444">
        <f>C42+C48+C57</f>
        <v>2021.5926598205658</v>
      </c>
      <c r="D59" s="444">
        <f>D42+D48+D57</f>
        <v>167.16513938753684</v>
      </c>
      <c r="E59" s="444">
        <f>E42+E48+E57</f>
        <v>402.69891819447804</v>
      </c>
      <c r="F59" s="444">
        <f>F42+F48+F57</f>
        <v>935.92239585143773</v>
      </c>
      <c r="G59" s="447" t="s">
        <v>4</v>
      </c>
      <c r="H59" s="446">
        <f>SUM(C59:F59)</f>
        <v>3527.3791132540186</v>
      </c>
      <c r="I59" s="117"/>
      <c r="J59" s="476"/>
      <c r="K59" s="476"/>
      <c r="L59" s="478"/>
      <c r="M59" s="478"/>
      <c r="N59" s="478"/>
      <c r="O59" s="478"/>
      <c r="P59" s="475"/>
    </row>
    <row r="60" spans="2:16" ht="15" customHeight="1">
      <c r="B60" s="114"/>
      <c r="C60" s="133"/>
      <c r="D60" s="133"/>
      <c r="E60" s="133"/>
      <c r="F60" s="133"/>
      <c r="G60" s="463"/>
      <c r="H60" s="463"/>
      <c r="I60" s="132"/>
      <c r="J60" s="112"/>
      <c r="K60" s="112"/>
      <c r="L60" s="113"/>
      <c r="M60" s="113"/>
      <c r="N60" s="113"/>
      <c r="O60" s="113"/>
      <c r="P60" s="109"/>
    </row>
    <row r="61" spans="2:16">
      <c r="B61" s="1032"/>
      <c r="C61" s="1033"/>
      <c r="D61" s="1033"/>
      <c r="E61" s="1033"/>
      <c r="F61" s="1033"/>
      <c r="G61" s="1033"/>
      <c r="H61" s="1033"/>
    </row>
    <row r="62" spans="2:16">
      <c r="B62" s="916"/>
      <c r="C62" s="916"/>
      <c r="D62" s="916"/>
      <c r="E62" s="916"/>
      <c r="F62" s="916"/>
      <c r="G62" s="916"/>
      <c r="H62" s="916"/>
    </row>
    <row r="63" spans="2:16">
      <c r="B63" s="116" t="s">
        <v>664</v>
      </c>
      <c r="C63" s="916"/>
      <c r="D63" s="916"/>
      <c r="E63" s="916"/>
      <c r="F63" s="916"/>
      <c r="G63" s="916"/>
      <c r="H63" s="916"/>
    </row>
    <row r="64" spans="2:16">
      <c r="B64" s="985" t="s">
        <v>668</v>
      </c>
      <c r="C64" s="916"/>
      <c r="D64" s="916"/>
      <c r="E64" s="916"/>
      <c r="F64" s="916"/>
      <c r="G64" s="916"/>
      <c r="H64" s="986">
        <f>C42+C57</f>
        <v>1454.8453859316769</v>
      </c>
    </row>
    <row r="65" spans="2:16">
      <c r="B65" s="135" t="s">
        <v>667</v>
      </c>
      <c r="C65" s="916"/>
      <c r="D65" s="916"/>
      <c r="E65" s="916"/>
      <c r="F65" s="916"/>
      <c r="G65" s="916"/>
      <c r="H65" s="986">
        <f>D42+D57</f>
        <v>167.03229075241208</v>
      </c>
    </row>
    <row r="66" spans="2:16" ht="15" customHeight="1">
      <c r="B66" s="985" t="s">
        <v>669</v>
      </c>
      <c r="C66" s="469"/>
      <c r="D66" s="133"/>
      <c r="E66" s="444"/>
      <c r="F66" s="464"/>
      <c r="G66" s="442"/>
      <c r="H66" s="463">
        <f>F42+F57</f>
        <v>935.92239585143773</v>
      </c>
      <c r="I66" s="122"/>
      <c r="J66" s="112"/>
      <c r="K66" s="113"/>
      <c r="L66" s="113"/>
      <c r="M66" s="113"/>
      <c r="N66" s="113"/>
      <c r="O66" s="109"/>
    </row>
    <row r="67" spans="2:16" ht="15" customHeight="1">
      <c r="B67" s="831" t="s">
        <v>666</v>
      </c>
      <c r="C67" s="469"/>
      <c r="D67" s="469"/>
      <c r="E67" s="592"/>
      <c r="F67" s="464"/>
      <c r="G67" s="442"/>
      <c r="H67" s="848">
        <f>SUM(H64:H66)</f>
        <v>2557.8000725355269</v>
      </c>
      <c r="I67" s="404"/>
      <c r="J67" s="112"/>
      <c r="K67" s="113"/>
      <c r="L67" s="113"/>
      <c r="M67" s="113"/>
      <c r="N67" s="113"/>
      <c r="O67" s="109"/>
    </row>
    <row r="68" spans="2:16" ht="15" customHeight="1">
      <c r="B68" s="985" t="s">
        <v>680</v>
      </c>
      <c r="C68" s="469"/>
      <c r="D68" s="469"/>
      <c r="E68" s="469"/>
      <c r="F68" s="132"/>
      <c r="G68" s="442"/>
      <c r="H68" s="463">
        <f>C48</f>
        <v>566.74727388888891</v>
      </c>
      <c r="I68" s="404"/>
      <c r="J68" s="112"/>
      <c r="K68" s="113"/>
      <c r="L68" s="113"/>
      <c r="M68" s="113"/>
      <c r="N68" s="113"/>
      <c r="O68" s="109"/>
    </row>
    <row r="69" spans="2:16" ht="15" customHeight="1">
      <c r="B69" s="985" t="s">
        <v>445</v>
      </c>
      <c r="C69" s="469"/>
      <c r="D69" s="469"/>
      <c r="E69" s="469"/>
      <c r="F69" s="132"/>
      <c r="G69" s="442"/>
      <c r="H69" s="463">
        <f>D48</f>
        <v>0.13284863512476036</v>
      </c>
      <c r="I69" s="404"/>
      <c r="J69" s="112"/>
      <c r="K69" s="113"/>
      <c r="L69" s="113"/>
      <c r="M69" s="113"/>
      <c r="N69" s="113"/>
      <c r="O69" s="109"/>
    </row>
    <row r="70" spans="2:16" ht="15" customHeight="1">
      <c r="B70" s="985" t="s">
        <v>670</v>
      </c>
      <c r="C70" s="469"/>
      <c r="D70" s="444"/>
      <c r="E70" s="469"/>
      <c r="F70" s="132"/>
      <c r="G70" s="132"/>
      <c r="H70" s="463">
        <f>F48</f>
        <v>0</v>
      </c>
      <c r="I70" s="404"/>
      <c r="J70" s="112"/>
      <c r="K70" s="113"/>
      <c r="L70" s="113"/>
      <c r="M70" s="113"/>
      <c r="N70" s="113"/>
      <c r="O70" s="109"/>
    </row>
    <row r="71" spans="2:16" ht="15" customHeight="1">
      <c r="B71" s="831" t="s">
        <v>671</v>
      </c>
      <c r="C71" s="43"/>
      <c r="D71" s="43"/>
      <c r="E71" s="832"/>
      <c r="F71" s="43"/>
      <c r="G71" s="43"/>
      <c r="H71" s="598">
        <f>SUM(H68:H70)</f>
        <v>566.8801225240137</v>
      </c>
      <c r="I71" s="404"/>
      <c r="J71" s="112"/>
      <c r="K71" s="113"/>
      <c r="L71" s="113"/>
      <c r="M71" s="113"/>
      <c r="N71" s="113"/>
      <c r="O71" s="109"/>
    </row>
    <row r="72" spans="2:16" ht="15" customHeight="1">
      <c r="B72" s="833" t="s">
        <v>513</v>
      </c>
      <c r="C72" s="919"/>
      <c r="D72" s="919"/>
      <c r="E72" s="987"/>
      <c r="F72" s="988"/>
      <c r="G72" s="919"/>
      <c r="H72" s="818">
        <f>H67+H71</f>
        <v>3124.6801950595404</v>
      </c>
      <c r="I72" s="404"/>
      <c r="J72" s="112"/>
      <c r="K72" s="113"/>
      <c r="L72" s="113"/>
      <c r="M72" s="113"/>
      <c r="N72" s="113"/>
      <c r="O72" s="109"/>
    </row>
    <row r="73" spans="2:16" ht="15" customHeight="1">
      <c r="B73" s="985" t="s">
        <v>672</v>
      </c>
      <c r="C73" s="135"/>
      <c r="D73" s="135"/>
      <c r="E73" s="472"/>
      <c r="F73" s="135"/>
      <c r="G73" s="135"/>
      <c r="H73" s="989">
        <f>E42+E57</f>
        <v>401.96383296720529</v>
      </c>
      <c r="I73" s="404"/>
      <c r="J73" s="112"/>
      <c r="K73" s="113"/>
      <c r="L73" s="113"/>
      <c r="M73" s="113"/>
      <c r="N73" s="113"/>
      <c r="O73" s="109"/>
    </row>
    <row r="74" spans="2:16" ht="15" customHeight="1">
      <c r="B74" s="985" t="s">
        <v>673</v>
      </c>
      <c r="C74" s="135"/>
      <c r="D74" s="135"/>
      <c r="E74" s="472"/>
      <c r="F74" s="135"/>
      <c r="G74" s="135"/>
      <c r="H74" s="990">
        <f>E48</f>
        <v>0.73508522727272718</v>
      </c>
      <c r="I74" s="404"/>
      <c r="J74" s="112"/>
      <c r="K74" s="113"/>
      <c r="L74" s="113"/>
      <c r="M74" s="113"/>
      <c r="N74" s="113"/>
      <c r="O74" s="109"/>
    </row>
    <row r="75" spans="2:16" ht="15" customHeight="1">
      <c r="B75" s="837" t="s">
        <v>514</v>
      </c>
      <c r="C75" s="919"/>
      <c r="D75" s="919"/>
      <c r="E75" s="987"/>
      <c r="F75" s="988"/>
      <c r="G75" s="919"/>
      <c r="H75" s="819">
        <f>H73+H74</f>
        <v>402.69891819447804</v>
      </c>
      <c r="I75" s="404"/>
      <c r="J75" s="112"/>
      <c r="K75" s="113"/>
      <c r="L75" s="113"/>
      <c r="M75" s="113"/>
      <c r="N75" s="113"/>
      <c r="O75" s="109"/>
    </row>
    <row r="76" spans="2:16" ht="15" customHeight="1">
      <c r="B76" s="264"/>
      <c r="C76" s="469"/>
      <c r="D76" s="242"/>
      <c r="E76" s="469"/>
      <c r="F76" s="132"/>
      <c r="G76" s="132"/>
      <c r="H76" s="442"/>
      <c r="I76" s="404"/>
      <c r="J76" s="112"/>
      <c r="K76" s="113"/>
      <c r="L76" s="113"/>
      <c r="M76" s="113"/>
      <c r="N76" s="113"/>
      <c r="O76" s="109"/>
    </row>
    <row r="77" spans="2:16">
      <c r="B77" s="132"/>
      <c r="C77" s="469"/>
      <c r="D77" s="469"/>
      <c r="E77" s="469"/>
      <c r="F77" s="132"/>
      <c r="G77" s="442"/>
      <c r="H77" s="442"/>
      <c r="I77" s="404"/>
      <c r="J77" s="112"/>
      <c r="K77" s="111"/>
      <c r="L77" s="111"/>
      <c r="M77" s="111"/>
      <c r="N77" s="111"/>
      <c r="O77" s="109"/>
    </row>
    <row r="78" spans="2:16">
      <c r="B78" s="132"/>
      <c r="C78" s="133"/>
      <c r="D78" s="133"/>
      <c r="E78" s="133"/>
      <c r="F78" s="133"/>
      <c r="H78" s="243"/>
      <c r="I78" s="404"/>
      <c r="J78" s="112"/>
      <c r="K78" s="111"/>
      <c r="L78" s="111"/>
      <c r="M78" s="111"/>
      <c r="N78" s="111"/>
      <c r="O78" s="109"/>
    </row>
    <row r="79" spans="2:16">
      <c r="B79" s="132"/>
      <c r="C79" s="265"/>
      <c r="D79" s="132"/>
      <c r="E79" s="132"/>
      <c r="F79" s="132"/>
      <c r="G79" s="265"/>
      <c r="H79" s="265"/>
      <c r="I79" s="229"/>
      <c r="K79" s="109"/>
      <c r="L79" s="109"/>
      <c r="M79" s="109"/>
      <c r="N79" s="109"/>
      <c r="O79" s="109"/>
    </row>
    <row r="80" spans="2:16">
      <c r="B80" s="132"/>
      <c r="C80" s="265"/>
      <c r="D80" s="132"/>
      <c r="E80" s="132"/>
      <c r="F80" s="132"/>
      <c r="G80" s="132"/>
      <c r="H80" s="265"/>
      <c r="I80" s="132"/>
      <c r="L80" s="109"/>
      <c r="M80" s="109"/>
      <c r="N80" s="109"/>
      <c r="O80" s="109"/>
      <c r="P80" s="109"/>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78"/>
  <sheetViews>
    <sheetView showGridLines="0" view="pageLayout" topLeftCell="A29" workbookViewId="0">
      <selection activeCell="B41" sqref="B41"/>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Index'!B42</f>
        <v>Leeks</v>
      </c>
      <c r="C2" s="221"/>
      <c r="D2" s="221"/>
      <c r="E2" s="221"/>
      <c r="I2" s="109"/>
      <c r="J2" s="109"/>
      <c r="K2" s="109"/>
      <c r="L2" s="109"/>
      <c r="M2" s="109"/>
      <c r="N2" s="109"/>
    </row>
    <row r="3" spans="2:19" ht="33.5" customHeight="1">
      <c r="B3" s="1027" t="s">
        <v>716</v>
      </c>
      <c r="C3" s="132" t="s">
        <v>367</v>
      </c>
      <c r="E3" s="222" t="s">
        <v>14</v>
      </c>
      <c r="F3"/>
      <c r="G3"/>
      <c r="H3"/>
      <c r="I3" s="226"/>
      <c r="J3" s="226"/>
      <c r="K3" s="226"/>
      <c r="L3" s="120"/>
      <c r="M3" s="117"/>
      <c r="N3" s="129"/>
      <c r="O3" s="112"/>
      <c r="P3" s="112"/>
      <c r="Q3" s="112"/>
      <c r="R3" s="112"/>
      <c r="S3" s="112"/>
    </row>
    <row r="4" spans="2:19">
      <c r="B4" s="918"/>
      <c r="C4" s="132" t="s">
        <v>47</v>
      </c>
      <c r="D4" s="916"/>
      <c r="E4" s="1067">
        <f>'BW1-Bed and Row Spacing'!J24</f>
        <v>6701.5384615384619</v>
      </c>
      <c r="F4" s="135"/>
      <c r="G4" s="135"/>
      <c r="H4" s="135"/>
      <c r="I4" s="226"/>
      <c r="J4" s="226"/>
      <c r="K4" s="226"/>
      <c r="L4" s="120"/>
      <c r="M4" s="110"/>
      <c r="N4" s="111"/>
      <c r="O4" s="112"/>
      <c r="P4" s="112"/>
      <c r="Q4" s="112"/>
      <c r="R4" s="112"/>
      <c r="S4" s="112"/>
    </row>
    <row r="5" spans="2:19">
      <c r="B5" s="915"/>
      <c r="C5" s="132" t="s">
        <v>366</v>
      </c>
      <c r="D5" s="916"/>
      <c r="E5" s="1338" t="s">
        <v>817</v>
      </c>
      <c r="F5" s="1338"/>
      <c r="G5" s="1338"/>
      <c r="H5" s="1338"/>
      <c r="I5" s="225"/>
      <c r="J5" s="225"/>
      <c r="K5" s="225"/>
      <c r="L5" s="127"/>
      <c r="M5" s="110"/>
      <c r="N5" s="111"/>
      <c r="O5" s="112"/>
      <c r="P5" s="112"/>
      <c r="Q5" s="112"/>
      <c r="R5" s="112"/>
      <c r="S5" s="112"/>
    </row>
    <row r="6" spans="2:19" ht="14" customHeight="1">
      <c r="B6" s="223"/>
      <c r="C6" s="915"/>
      <c r="D6" s="916"/>
      <c r="E6" s="1338"/>
      <c r="F6" s="1338"/>
      <c r="G6" s="1338"/>
      <c r="H6" s="1338"/>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3" customHeight="1">
      <c r="B11" s="922" t="s">
        <v>181</v>
      </c>
      <c r="C11" s="999"/>
      <c r="D11" s="1000"/>
      <c r="E11" s="1000"/>
      <c r="F11" s="1001"/>
      <c r="G11" s="509"/>
      <c r="H11" s="509"/>
      <c r="I11" s="110"/>
      <c r="J11" s="122"/>
      <c r="K11" s="121"/>
      <c r="L11" s="121"/>
      <c r="M11" s="112"/>
      <c r="N11" s="112"/>
      <c r="O11" s="112"/>
    </row>
    <row r="12" spans="2:19" ht="15" customHeight="1">
      <c r="B12" s="265" t="s">
        <v>145</v>
      </c>
      <c r="C12" s="512">
        <f>'BW2-Field Act. Labor &amp; Mach.'!I9</f>
        <v>9.23447</v>
      </c>
      <c r="D12" s="520">
        <f>'BW2-Field Act. Labor &amp; Mach.'!K9</f>
        <v>7.1626812745625896</v>
      </c>
      <c r="E12" s="520">
        <f>'BW2-Field Act. Labor &amp; Mach.'!L9</f>
        <v>6.5697668891297312</v>
      </c>
      <c r="F12" s="526"/>
      <c r="G12" s="465"/>
      <c r="H12" s="465"/>
      <c r="I12" s="28"/>
      <c r="J12" s="121"/>
      <c r="K12" s="122"/>
      <c r="L12" s="122"/>
      <c r="M12" s="112"/>
      <c r="N12" s="112"/>
      <c r="O12" s="112"/>
    </row>
    <row r="13" spans="2:19" ht="15" customHeight="1">
      <c r="B13" s="132" t="s">
        <v>46</v>
      </c>
      <c r="C13" s="512">
        <f>'BW2-Field Act. Labor &amp; Mach.'!I10</f>
        <v>11.87289</v>
      </c>
      <c r="D13" s="520">
        <f>'BW2-Field Act. Labor &amp; Mach.'!K10</f>
        <v>16.900081383311999</v>
      </c>
      <c r="E13" s="520">
        <f>'BW2-Field Act. Labor &amp; Mach.'!L10</f>
        <v>23.703168100043012</v>
      </c>
      <c r="F13" s="526"/>
      <c r="G13" s="133"/>
      <c r="H13" s="465"/>
      <c r="I13" s="5"/>
      <c r="J13" s="112"/>
      <c r="K13" s="112"/>
      <c r="L13" s="112"/>
      <c r="M13" s="118"/>
      <c r="N13" s="112"/>
      <c r="O13" s="112"/>
    </row>
    <row r="14" spans="2:19" ht="15" customHeight="1">
      <c r="B14" s="151" t="s">
        <v>69</v>
      </c>
      <c r="C14" s="512"/>
      <c r="D14" s="520"/>
      <c r="E14" s="520"/>
      <c r="F14" s="526">
        <f>'BW3-Variable Input'!C9</f>
        <v>116.66666666666667</v>
      </c>
      <c r="G14" s="133"/>
      <c r="H14" s="465"/>
      <c r="I14" s="5"/>
      <c r="J14" s="112"/>
      <c r="K14" s="112"/>
      <c r="L14" s="112"/>
      <c r="M14" s="118"/>
      <c r="N14" s="112"/>
      <c r="O14" s="112"/>
    </row>
    <row r="15" spans="2:19" ht="15" customHeight="1">
      <c r="B15" s="132" t="s">
        <v>11</v>
      </c>
      <c r="C15" s="512">
        <f>'BW2-Field Act. Labor &amp; Mach.'!I13</f>
        <v>22.426569999999998</v>
      </c>
      <c r="D15" s="520">
        <f>'BW2-Field Act. Labor &amp; Mach.'!K13</f>
        <v>17.993866831056</v>
      </c>
      <c r="E15" s="520">
        <f>'BW2-Field Act. Labor &amp; Mach.'!L13</f>
        <v>44.771770188886023</v>
      </c>
      <c r="F15" s="526"/>
      <c r="G15" s="133"/>
      <c r="H15" s="463"/>
      <c r="I15" s="5"/>
      <c r="J15" s="112"/>
      <c r="K15" s="112"/>
      <c r="L15" s="112"/>
      <c r="M15" s="118"/>
      <c r="N15" s="112"/>
      <c r="O15" s="112"/>
    </row>
    <row r="16" spans="2:19" ht="15" customHeight="1">
      <c r="B16" s="132" t="s">
        <v>12</v>
      </c>
      <c r="C16" s="512">
        <f>'BW2-Field Act. Labor &amp; Mach.'!I14</f>
        <v>10.55368</v>
      </c>
      <c r="D16" s="520">
        <f>'BW2-Field Act. Labor &amp; Mach.'!K14</f>
        <v>9.2140341759999984</v>
      </c>
      <c r="E16" s="520">
        <f>'BW2-Field Act. Labor &amp; Mach.'!L14</f>
        <v>29.935417361494395</v>
      </c>
      <c r="F16" s="526"/>
      <c r="G16" s="133"/>
      <c r="H16" s="463"/>
      <c r="I16" s="5"/>
      <c r="J16" s="112"/>
      <c r="K16" s="112"/>
      <c r="L16" s="112"/>
      <c r="M16" s="112"/>
      <c r="N16" s="112"/>
      <c r="O16" s="112"/>
    </row>
    <row r="17" spans="2:15" ht="15" customHeight="1">
      <c r="B17" s="132" t="s">
        <v>144</v>
      </c>
      <c r="C17" s="512">
        <f>'BW2-Field Act. Labor &amp; Mach.'!I15</f>
        <v>59.364449999999998</v>
      </c>
      <c r="D17" s="520">
        <f>'BW2-Field Act. Labor &amp; Mach.'!K15</f>
        <v>11.732543673988348</v>
      </c>
      <c r="E17" s="520">
        <f>'BW2-Field Act. Labor &amp; Mach.'!L15</f>
        <v>19.938595491388046</v>
      </c>
      <c r="F17" s="526"/>
      <c r="G17" s="133"/>
      <c r="H17" s="463"/>
      <c r="I17" s="5"/>
      <c r="J17" s="112"/>
      <c r="K17" s="112"/>
      <c r="L17" s="112"/>
      <c r="M17" s="112"/>
      <c r="N17" s="112"/>
      <c r="O17" s="112"/>
    </row>
    <row r="18" spans="2:15" ht="15" customHeight="1">
      <c r="B18" s="151" t="s">
        <v>313</v>
      </c>
      <c r="C18" s="512"/>
      <c r="D18" s="520"/>
      <c r="E18" s="520"/>
      <c r="F18" s="526">
        <f>'BW3-Variable Input'!C23</f>
        <v>125.09538461538463</v>
      </c>
      <c r="G18" s="133"/>
      <c r="H18" s="463"/>
      <c r="I18" s="5"/>
      <c r="J18" s="118"/>
      <c r="K18" s="118"/>
      <c r="L18" s="118"/>
      <c r="M18" s="112"/>
      <c r="N18" s="112"/>
      <c r="O18" s="112"/>
    </row>
    <row r="19" spans="2:15" ht="15" customHeight="1">
      <c r="B19" s="416" t="s">
        <v>192</v>
      </c>
      <c r="C19" s="513">
        <f>'BW2-Field Act. Labor &amp; Mach.'!I16*2</f>
        <v>21.10736</v>
      </c>
      <c r="D19" s="521">
        <f>'BW2-Field Act. Labor &amp; Mach.'!K16*2</f>
        <v>12.051200395575469</v>
      </c>
      <c r="E19" s="521">
        <f>'BW2-Field Act. Labor &amp; Mach.'!L16*2</f>
        <v>17.332156747393537</v>
      </c>
      <c r="F19" s="527"/>
      <c r="G19" s="486"/>
      <c r="H19" s="485"/>
      <c r="I19" s="5"/>
      <c r="J19" s="112"/>
      <c r="K19" s="112"/>
      <c r="L19" s="112"/>
      <c r="M19" s="112"/>
      <c r="N19" s="112"/>
      <c r="O19" s="112"/>
    </row>
    <row r="20" spans="2:15" ht="15" customHeight="1">
      <c r="B20" s="132"/>
      <c r="C20" s="133"/>
      <c r="D20" s="133"/>
      <c r="E20" s="133"/>
      <c r="F20" s="133"/>
      <c r="G20" s="133"/>
      <c r="H20" s="466"/>
      <c r="I20" s="5"/>
      <c r="J20" s="112"/>
      <c r="K20" s="112"/>
      <c r="L20" s="112"/>
      <c r="M20" s="112"/>
      <c r="N20" s="112"/>
      <c r="O20" s="112"/>
    </row>
    <row r="21" spans="2:15" ht="15" customHeight="1">
      <c r="B21" s="921" t="s">
        <v>10</v>
      </c>
      <c r="C21" s="515"/>
      <c r="D21" s="438"/>
      <c r="E21" s="438"/>
      <c r="F21" s="529"/>
      <c r="G21" s="422"/>
      <c r="H21" s="494"/>
      <c r="I21" s="5"/>
      <c r="J21" s="112"/>
      <c r="K21" s="112"/>
      <c r="L21" s="112"/>
      <c r="M21" s="112"/>
      <c r="N21" s="112"/>
      <c r="O21" s="112"/>
    </row>
    <row r="22" spans="2:15" ht="15" customHeight="1">
      <c r="B22" s="132" t="str">
        <f>'BW2-Field Act. Labor &amp; Mach.'!B21</f>
        <v>Transplant on bareground</v>
      </c>
      <c r="C22" s="516">
        <f>'BW2-Field Act. Labor &amp; Mach.'!I21</f>
        <v>237.45779999999999</v>
      </c>
      <c r="D22" s="520">
        <f>'BW2-Field Act. Labor &amp; Mach.'!K21</f>
        <v>36.893392063675897</v>
      </c>
      <c r="E22" s="520">
        <f>'BW2-Field Act. Labor &amp; Mach.'!L21</f>
        <v>114.11450861195542</v>
      </c>
      <c r="F22" s="526"/>
      <c r="G22" s="133"/>
      <c r="H22" s="463"/>
      <c r="I22" s="110"/>
      <c r="J22" s="112"/>
      <c r="K22" s="112"/>
      <c r="L22" s="112"/>
      <c r="M22" s="112"/>
      <c r="N22" s="112"/>
      <c r="O22" s="112"/>
    </row>
    <row r="23" spans="2:15" ht="15" customHeight="1">
      <c r="B23" s="151" t="s">
        <v>685</v>
      </c>
      <c r="C23" s="512"/>
      <c r="D23" s="520"/>
      <c r="E23" s="520"/>
      <c r="F23" s="526">
        <f>'BW4-Transplant Production'!F16</f>
        <v>180.55731692307697</v>
      </c>
      <c r="G23" s="1029" t="s">
        <v>720</v>
      </c>
      <c r="H23" s="463"/>
      <c r="I23" s="110"/>
      <c r="J23" s="112"/>
      <c r="K23" s="112"/>
      <c r="L23" s="112"/>
      <c r="M23" s="112"/>
      <c r="N23" s="112"/>
      <c r="O23" s="112"/>
    </row>
    <row r="24" spans="2:15" ht="15" customHeight="1">
      <c r="B24" s="151" t="s">
        <v>459</v>
      </c>
      <c r="C24" s="512">
        <f>'BW4-Transplant Production'!D16</f>
        <v>494.43726620544493</v>
      </c>
      <c r="D24" s="520"/>
      <c r="E24" s="520"/>
      <c r="F24" s="526">
        <f>'BW4-Transplant Production'!J43</f>
        <v>279.58819889560959</v>
      </c>
      <c r="G24" s="1029" t="s">
        <v>720</v>
      </c>
      <c r="H24" s="463"/>
      <c r="I24" s="110"/>
      <c r="J24" s="112"/>
      <c r="K24" s="112"/>
      <c r="L24" s="112"/>
      <c r="M24" s="112"/>
      <c r="N24" s="112"/>
      <c r="O24" s="112"/>
    </row>
    <row r="25" spans="2:15" ht="15" customHeight="1">
      <c r="B25" s="418" t="s">
        <v>315</v>
      </c>
      <c r="C25" s="513"/>
      <c r="D25" s="521"/>
      <c r="E25" s="521"/>
      <c r="F25" s="527">
        <f>'BW3-Variable Input'!C10</f>
        <v>124</v>
      </c>
      <c r="G25" s="486"/>
      <c r="H25" s="485"/>
      <c r="I25" s="110"/>
      <c r="J25" s="112"/>
      <c r="K25" s="112"/>
      <c r="L25" s="112"/>
      <c r="M25" s="112"/>
      <c r="N25" s="112"/>
      <c r="O25" s="112"/>
    </row>
    <row r="26" spans="2:15" ht="15" customHeight="1">
      <c r="B26" s="132"/>
      <c r="C26" s="133"/>
      <c r="D26" s="133"/>
      <c r="E26" s="133"/>
      <c r="F26" s="133"/>
      <c r="G26" s="133"/>
      <c r="H26" s="466"/>
      <c r="I26" s="110"/>
      <c r="J26" s="112"/>
      <c r="K26" s="112"/>
      <c r="L26" s="112"/>
      <c r="M26" s="112"/>
      <c r="N26" s="112"/>
      <c r="O26" s="112"/>
    </row>
    <row r="27" spans="2:15" ht="15" customHeight="1">
      <c r="B27" s="921" t="s">
        <v>37</v>
      </c>
      <c r="C27" s="515"/>
      <c r="D27" s="438"/>
      <c r="E27" s="438"/>
      <c r="F27" s="529"/>
      <c r="G27" s="422"/>
      <c r="H27" s="494"/>
      <c r="I27" s="110"/>
      <c r="J27" s="112"/>
      <c r="K27" s="112"/>
      <c r="L27" s="112"/>
      <c r="M27" s="112"/>
      <c r="N27" s="112"/>
      <c r="O27" s="112"/>
    </row>
    <row r="28" spans="2:15" ht="15" customHeight="1">
      <c r="B28" s="462" t="s">
        <v>179</v>
      </c>
      <c r="C28" s="512">
        <f>'BW2-Field Act. Labor &amp; Mach.'!$I$31*2</f>
        <v>10.55368</v>
      </c>
      <c r="D28" s="520">
        <f>'BW2-Field Act. Labor &amp; Mach.'!K31*2</f>
        <v>1.6570295666513035</v>
      </c>
      <c r="E28" s="520">
        <f>'BW2-Field Act. Labor &amp; Mach.'!L31*2</f>
        <v>27.363002680965153</v>
      </c>
      <c r="F28" s="526"/>
      <c r="G28" s="133"/>
      <c r="H28" s="133"/>
      <c r="I28" s="110"/>
      <c r="J28" s="112"/>
      <c r="K28" s="118"/>
      <c r="L28" s="112"/>
      <c r="M28" s="112"/>
      <c r="N28" s="112"/>
      <c r="O28" s="112"/>
    </row>
    <row r="29" spans="2:15" ht="15" customHeight="1">
      <c r="B29" s="151" t="str">
        <f>'BW5-Irrigation'!$B$8</f>
        <v>Irrigation supply cost</v>
      </c>
      <c r="C29" s="512"/>
      <c r="D29" s="520"/>
      <c r="E29" s="520"/>
      <c r="F29" s="526">
        <f>'BW5-Irrigation'!$E$8</f>
        <v>32.773534158149545</v>
      </c>
      <c r="G29" s="1029" t="s">
        <v>851</v>
      </c>
      <c r="H29" s="133"/>
      <c r="I29" s="110"/>
      <c r="J29" s="112"/>
      <c r="K29" s="118"/>
      <c r="L29" s="112"/>
      <c r="M29" s="112"/>
      <c r="N29" s="112"/>
      <c r="O29" s="112"/>
    </row>
    <row r="30" spans="2:15" ht="15" customHeight="1">
      <c r="B30" s="132" t="str">
        <f>'BW5-Irrigation'!$B$9</f>
        <v>Irrigation set-up labor cost</v>
      </c>
      <c r="C30" s="512">
        <f>'BW5-Irrigation'!$E$9</f>
        <v>50.735370890410955</v>
      </c>
      <c r="D30" s="520"/>
      <c r="E30" s="520"/>
      <c r="F30" s="526"/>
      <c r="G30" s="1029" t="s">
        <v>851</v>
      </c>
      <c r="H30" s="133"/>
      <c r="I30" s="110"/>
      <c r="J30" s="112"/>
      <c r="K30" s="118"/>
      <c r="L30" s="112"/>
      <c r="M30" s="112"/>
      <c r="N30" s="112"/>
      <c r="O30" s="112"/>
    </row>
    <row r="31" spans="2:15" ht="15" customHeight="1">
      <c r="B31" s="132" t="s">
        <v>294</v>
      </c>
      <c r="C31" s="512">
        <f>'BW2-Field Act. Labor &amp; Mach.'!I39*'BW5-Irrigation'!C29</f>
        <v>158.30520000000001</v>
      </c>
      <c r="D31" s="520"/>
      <c r="E31" s="520"/>
      <c r="F31" s="526"/>
      <c r="G31" s="133"/>
      <c r="H31" s="463"/>
      <c r="I31" s="115"/>
      <c r="J31" s="118"/>
      <c r="K31" s="118"/>
      <c r="L31" s="118"/>
      <c r="M31" s="112"/>
      <c r="N31" s="112"/>
      <c r="O31" s="112"/>
    </row>
    <row r="32" spans="2:15" ht="15" customHeight="1">
      <c r="B32" s="462" t="s">
        <v>230</v>
      </c>
      <c r="C32" s="517">
        <v>6.6</v>
      </c>
      <c r="D32" s="523">
        <f>'BW2-Field Act. Labor &amp; Mach.'!K32</f>
        <v>0.70423756582680397</v>
      </c>
      <c r="E32" s="523">
        <f>'BW2-Field Act. Labor &amp; Mach.'!L32</f>
        <v>11.629276139410191</v>
      </c>
      <c r="F32" s="530"/>
      <c r="G32" s="133"/>
      <c r="H32" s="463"/>
      <c r="I32" s="115"/>
      <c r="J32" s="112"/>
      <c r="K32" s="118"/>
      <c r="L32" s="112"/>
      <c r="M32" s="112"/>
      <c r="N32" s="112"/>
      <c r="O32" s="112"/>
    </row>
    <row r="33" spans="2:19" ht="15" customHeight="1">
      <c r="B33" s="482" t="s">
        <v>308</v>
      </c>
      <c r="C33" s="517"/>
      <c r="D33" s="523"/>
      <c r="E33" s="523"/>
      <c r="F33" s="530">
        <v>8.8000000000000007</v>
      </c>
      <c r="G33" s="133"/>
      <c r="H33" s="463"/>
      <c r="I33" s="115"/>
      <c r="J33" s="112"/>
      <c r="K33" s="118"/>
      <c r="L33" s="112"/>
      <c r="M33" s="112"/>
      <c r="N33" s="112"/>
      <c r="O33" s="112"/>
    </row>
    <row r="34" spans="2:19" ht="15" customHeight="1">
      <c r="B34" s="462" t="s">
        <v>201</v>
      </c>
      <c r="C34" s="512">
        <f>'BW2-Field Act. Labor &amp; Mach.'!$I$28*3</f>
        <v>31.66104</v>
      </c>
      <c r="D34" s="520">
        <f>'BW2-Field Act. Labor &amp; Mach.'!K28*3</f>
        <v>13.069827471322013</v>
      </c>
      <c r="E34" s="520">
        <f>'BW2-Field Act. Labor &amp; Mach.'!L28*3</f>
        <v>34.652202498356345</v>
      </c>
      <c r="F34" s="526"/>
      <c r="G34" s="133"/>
      <c r="H34" s="463"/>
      <c r="I34" s="115"/>
      <c r="J34" s="112"/>
      <c r="K34" s="118"/>
      <c r="L34" s="112"/>
      <c r="M34" s="112"/>
      <c r="N34" s="112"/>
      <c r="O34" s="112"/>
    </row>
    <row r="35" spans="2:19" ht="15" customHeight="1">
      <c r="B35" s="462" t="s">
        <v>199</v>
      </c>
      <c r="C35" s="512">
        <f>'BW2-Field Act. Labor &amp; Mach.'!I34*3</f>
        <v>296.82225</v>
      </c>
      <c r="D35" s="520"/>
      <c r="E35" s="520"/>
      <c r="F35" s="526"/>
      <c r="G35" s="133"/>
      <c r="H35" s="463"/>
      <c r="I35" s="115"/>
      <c r="J35" s="112"/>
      <c r="K35" s="118"/>
      <c r="L35" s="112"/>
      <c r="M35" s="112"/>
      <c r="N35" s="112"/>
      <c r="O35" s="112"/>
    </row>
    <row r="36" spans="2:19" ht="15" customHeight="1">
      <c r="B36" s="462" t="s">
        <v>180</v>
      </c>
      <c r="C36" s="512">
        <f>'BW2-Field Act. Labor &amp; Mach.'!$I$29*2</f>
        <v>63.32208</v>
      </c>
      <c r="D36" s="520">
        <f>'BW2-Field Act. Labor &amp; Mach.'!K29*2</f>
        <v>18.849340278005133</v>
      </c>
      <c r="E36" s="520">
        <f>'BW2-Field Act. Labor &amp; Mach.'!L29*2</f>
        <v>51.654848024316109</v>
      </c>
      <c r="F36" s="526"/>
      <c r="G36" s="133"/>
      <c r="H36" s="463"/>
      <c r="I36" s="110"/>
      <c r="J36" s="112"/>
      <c r="K36" s="112"/>
      <c r="L36" s="113"/>
      <c r="M36" s="113"/>
      <c r="N36" s="113"/>
      <c r="O36" s="113"/>
      <c r="P36" s="109"/>
    </row>
    <row r="37" spans="2:19" ht="15" customHeight="1">
      <c r="B37" s="462" t="s">
        <v>327</v>
      </c>
      <c r="C37" s="512">
        <f>'BW2-Field Act. Labor &amp; Mach.'!I37*4</f>
        <v>52.7684</v>
      </c>
      <c r="D37" s="520">
        <f>'BW2-Field Act. Labor &amp; Mach.'!K37*4</f>
        <v>40.728886581040129</v>
      </c>
      <c r="E37" s="520">
        <f>'BW2-Field Act. Labor &amp; Mach.'!L37*4</f>
        <v>52.41973239570433</v>
      </c>
      <c r="F37" s="526"/>
      <c r="G37" s="133"/>
      <c r="H37" s="463"/>
      <c r="I37" s="115"/>
      <c r="J37" s="112"/>
      <c r="K37" s="118"/>
      <c r="L37" s="112"/>
      <c r="M37" s="112"/>
      <c r="N37" s="112"/>
      <c r="O37" s="112"/>
    </row>
    <row r="38" spans="2:19" ht="15" customHeight="1">
      <c r="B38" s="419" t="s">
        <v>501</v>
      </c>
      <c r="C38" s="513"/>
      <c r="D38" s="521"/>
      <c r="E38" s="521"/>
      <c r="F38" s="527">
        <f>'BW3-Variable Input'!C60</f>
        <v>50.644084615384614</v>
      </c>
      <c r="G38" s="489"/>
      <c r="H38" s="541"/>
      <c r="I38" s="228"/>
      <c r="J38" s="228"/>
      <c r="K38"/>
      <c r="L38"/>
      <c r="M38"/>
      <c r="N38"/>
      <c r="O38"/>
      <c r="P38"/>
      <c r="Q38"/>
      <c r="R38"/>
      <c r="S38"/>
    </row>
    <row r="39" spans="2:19" s="453" customFormat="1" ht="15" customHeight="1">
      <c r="B39" s="824" t="s">
        <v>508</v>
      </c>
      <c r="C39" s="444">
        <f>SUM(C12:C19, C22:C25,C28:C38)</f>
        <v>1537.2225070958555</v>
      </c>
      <c r="D39" s="444">
        <f>SUM(D12:D19, D22:D25,D28:D38)</f>
        <v>186.95712126101569</v>
      </c>
      <c r="E39" s="444">
        <f>SUM(E12:E19, E22:E25,E28:E38)</f>
        <v>434.08444512904231</v>
      </c>
      <c r="F39" s="444">
        <f>SUM(F12:F19, F22:F25,F28:F38)</f>
        <v>918.12518587427201</v>
      </c>
      <c r="G39" s="445" t="s">
        <v>4</v>
      </c>
      <c r="H39" s="446">
        <f>SUM(C39:F39)</f>
        <v>3076.3892593601854</v>
      </c>
      <c r="I39" s="117"/>
      <c r="J39" s="476"/>
      <c r="K39" s="476"/>
      <c r="L39" s="477"/>
      <c r="M39" s="477"/>
      <c r="N39" s="477"/>
      <c r="O39" s="477"/>
      <c r="P39" s="475"/>
    </row>
    <row r="40" spans="2:19" s="120" customFormat="1" ht="15" customHeight="1">
      <c r="B40" s="593"/>
      <c r="C40" s="133"/>
      <c r="D40" s="133"/>
      <c r="E40" s="133"/>
      <c r="F40" s="133"/>
      <c r="G40" s="924"/>
      <c r="H40" s="265"/>
    </row>
    <row r="41" spans="2:19" s="119" customFormat="1" ht="15" customHeight="1">
      <c r="B41" s="116" t="s">
        <v>914</v>
      </c>
      <c r="C41" s="133"/>
      <c r="D41" s="133"/>
      <c r="E41" s="133"/>
      <c r="F41" s="133"/>
      <c r="G41" s="924"/>
      <c r="H41" s="265"/>
      <c r="I41" s="120"/>
    </row>
    <row r="42" spans="2:19" ht="15" customHeight="1">
      <c r="B42" s="921" t="s">
        <v>3</v>
      </c>
      <c r="C42" s="514"/>
      <c r="D42" s="522"/>
      <c r="E42" s="522"/>
      <c r="F42" s="528"/>
      <c r="G42" s="983"/>
      <c r="H42" s="491"/>
      <c r="I42" s="109"/>
      <c r="J42" s="118"/>
      <c r="K42" s="112"/>
      <c r="L42" s="111"/>
      <c r="M42" s="111"/>
      <c r="N42" s="111"/>
      <c r="O42" s="111"/>
      <c r="P42" s="109"/>
    </row>
    <row r="43" spans="2:19" ht="15" customHeight="1">
      <c r="B43" s="132" t="s">
        <v>203</v>
      </c>
      <c r="C43" s="512">
        <f>'BW6-Harvest and Wash-Pack'!D24</f>
        <v>2374.578</v>
      </c>
      <c r="D43" s="520">
        <f>'BW2-Field Act. Labor &amp; Mach.'!K54</f>
        <v>0.13284863512476036</v>
      </c>
      <c r="E43" s="520">
        <f>'BW2-Field Act. Labor &amp; Mach.'!L54</f>
        <v>0.73508522727272718</v>
      </c>
      <c r="F43" s="526"/>
      <c r="G43" s="1029" t="s">
        <v>852</v>
      </c>
      <c r="H43" s="265"/>
      <c r="I43" s="109"/>
      <c r="J43" s="118"/>
      <c r="K43" s="112"/>
      <c r="L43" s="113"/>
      <c r="M43" s="113"/>
      <c r="N43" s="113"/>
      <c r="O43" s="113"/>
      <c r="P43" s="109"/>
    </row>
    <row r="44" spans="2:19" ht="15" customHeight="1">
      <c r="B44" s="151" t="str">
        <f>'BW3-Variable Input'!$B$70</f>
        <v>Twist ties</v>
      </c>
      <c r="C44" s="517"/>
      <c r="D44" s="523"/>
      <c r="E44" s="523"/>
      <c r="F44" s="526">
        <f>'BW3-Variable Input'!$C$70</f>
        <v>87.11995499999999</v>
      </c>
      <c r="G44" s="463"/>
      <c r="H44" s="265"/>
      <c r="I44" s="109"/>
      <c r="J44" s="118"/>
      <c r="K44" s="112"/>
      <c r="L44" s="113"/>
      <c r="M44" s="113"/>
      <c r="N44" s="113"/>
      <c r="O44" s="113"/>
      <c r="P44" s="109"/>
    </row>
    <row r="45" spans="2:19" ht="15" customHeight="1">
      <c r="B45" s="489" t="s">
        <v>349</v>
      </c>
      <c r="C45" s="513">
        <f>'BW6-Harvest and Wash-Pack'!F24</f>
        <v>527.68399999999997</v>
      </c>
      <c r="D45" s="521"/>
      <c r="E45" s="521"/>
      <c r="F45" s="527"/>
      <c r="G45" s="1030" t="s">
        <v>852</v>
      </c>
      <c r="H45" s="485"/>
      <c r="I45" s="115"/>
      <c r="J45" s="118"/>
      <c r="K45" s="112"/>
      <c r="L45" s="113"/>
      <c r="M45" s="113"/>
      <c r="N45" s="113"/>
      <c r="O45" s="113"/>
      <c r="P45" s="109"/>
    </row>
    <row r="46" spans="2:19" s="453" customFormat="1" ht="15" customHeight="1">
      <c r="B46" s="824" t="s">
        <v>508</v>
      </c>
      <c r="C46" s="444">
        <f>SUM(C43:C45)</f>
        <v>2902.2619999999997</v>
      </c>
      <c r="D46" s="444">
        <f>SUM(D43:D45)</f>
        <v>0.13284863512476036</v>
      </c>
      <c r="E46" s="444">
        <f>SUM(E43:E45)</f>
        <v>0.73508522727272718</v>
      </c>
      <c r="F46" s="444">
        <f>SUM(F43:F45)</f>
        <v>87.11995499999999</v>
      </c>
      <c r="G46" s="445" t="s">
        <v>4</v>
      </c>
      <c r="H46" s="446">
        <f>SUM(C46:F46)</f>
        <v>2990.2498888623973</v>
      </c>
      <c r="I46" s="117"/>
      <c r="J46" s="476"/>
      <c r="K46" s="476"/>
      <c r="L46" s="477"/>
      <c r="M46" s="477"/>
      <c r="N46" s="477"/>
      <c r="O46" s="477"/>
      <c r="P46" s="475"/>
    </row>
    <row r="47" spans="2:19" s="120" customFormat="1" ht="15" customHeight="1">
      <c r="B47" s="593"/>
      <c r="C47" s="133"/>
      <c r="D47" s="133"/>
      <c r="E47" s="133"/>
      <c r="F47" s="133"/>
      <c r="G47" s="924"/>
      <c r="H47" s="265"/>
    </row>
    <row r="48" spans="2:19" s="119" customFormat="1" ht="15" customHeight="1">
      <c r="B48" s="116" t="s">
        <v>662</v>
      </c>
      <c r="C48" s="133"/>
      <c r="D48" s="133"/>
      <c r="E48" s="133"/>
      <c r="F48" s="133"/>
      <c r="G48" s="924"/>
      <c r="H48" s="265"/>
    </row>
    <row r="49" spans="2:16" ht="15" customHeight="1">
      <c r="B49" s="921" t="s">
        <v>663</v>
      </c>
      <c r="C49" s="515"/>
      <c r="D49" s="438"/>
      <c r="E49" s="438"/>
      <c r="F49" s="529"/>
      <c r="G49" s="494"/>
      <c r="H49" s="494"/>
      <c r="I49" s="110"/>
      <c r="J49" s="112"/>
      <c r="K49" s="112"/>
      <c r="L49" s="113"/>
      <c r="M49" s="113"/>
      <c r="N49" s="113"/>
      <c r="O49" s="113"/>
      <c r="P49" s="109"/>
    </row>
    <row r="50" spans="2:16" ht="15" customHeight="1">
      <c r="B50" s="462" t="s">
        <v>43</v>
      </c>
      <c r="C50" s="512">
        <f>'BW2-Field Act. Labor &amp; Mach.'!$I$66</f>
        <v>5.27684</v>
      </c>
      <c r="D50" s="520">
        <f>'BW2-Field Act. Labor &amp; Mach.'!K66</f>
        <v>4.7393418269465482</v>
      </c>
      <c r="E50" s="520">
        <f>'BW2-Field Act. Labor &amp; Mach.'!L66</f>
        <v>4.8215303303156709</v>
      </c>
      <c r="F50" s="526"/>
      <c r="G50" s="463"/>
      <c r="H50" s="463"/>
      <c r="I50" s="110"/>
      <c r="J50" s="118"/>
      <c r="K50" s="112"/>
      <c r="L50" s="113"/>
      <c r="M50" s="113"/>
      <c r="N50" s="113"/>
      <c r="O50" s="113"/>
      <c r="P50" s="109"/>
    </row>
    <row r="51" spans="2:16" ht="15" customHeight="1">
      <c r="B51" s="132" t="s">
        <v>150</v>
      </c>
      <c r="C51" s="512">
        <f>'BW2-Field Act. Labor &amp; Mach.'!$I$65</f>
        <v>42.21472</v>
      </c>
      <c r="D51" s="520">
        <f>'BW2-Field Act. Labor &amp; Mach.'!K65</f>
        <v>3.4075700159999998</v>
      </c>
      <c r="E51" s="520">
        <f>'BW2-Field Act. Labor &amp; Mach.'!L65</f>
        <v>2.89283314099518</v>
      </c>
      <c r="F51" s="526"/>
      <c r="G51" s="463"/>
      <c r="H51" s="463"/>
      <c r="I51" s="115"/>
      <c r="J51" s="118"/>
      <c r="K51" s="112"/>
      <c r="L51" s="113"/>
      <c r="M51" s="113"/>
      <c r="N51" s="113"/>
      <c r="O51" s="113"/>
      <c r="P51" s="109"/>
    </row>
    <row r="52" spans="2:16" ht="15" customHeight="1">
      <c r="B52" s="462" t="s">
        <v>44</v>
      </c>
      <c r="C52" s="512">
        <f>'BW2-Field Act. Labor &amp; Mach.'!$I$67</f>
        <v>5.27684</v>
      </c>
      <c r="D52" s="520">
        <f>'BW2-Field Act. Labor &amp; Mach.'!K67</f>
        <v>4.5754035882945541</v>
      </c>
      <c r="E52" s="520">
        <f>'BW2-Field Act. Labor &amp; Mach.'!L67</f>
        <v>8.7882358546602415</v>
      </c>
      <c r="F52" s="526"/>
      <c r="G52" s="463"/>
      <c r="H52" s="463"/>
      <c r="I52" s="110"/>
      <c r="J52" s="112"/>
      <c r="K52" s="112"/>
      <c r="L52" s="113"/>
      <c r="M52" s="113"/>
      <c r="N52" s="113"/>
      <c r="O52" s="113"/>
      <c r="P52" s="109"/>
    </row>
    <row r="53" spans="2:16" ht="15" customHeight="1">
      <c r="B53" s="462" t="s">
        <v>45</v>
      </c>
      <c r="C53" s="512">
        <f>'BW2-Field Act. Labor &amp; Mach.'!$I$69</f>
        <v>14.511310000000002</v>
      </c>
      <c r="D53" s="520">
        <f>'BW2-Field Act. Labor &amp; Mach.'!K69</f>
        <v>5.9046727740142977</v>
      </c>
      <c r="E53" s="520">
        <f>'BW2-Field Act. Labor &amp; Mach.'!L69</f>
        <v>8.041581086300118</v>
      </c>
      <c r="F53" s="526"/>
      <c r="G53" s="463"/>
      <c r="H53" s="463"/>
      <c r="I53" s="110"/>
      <c r="J53" s="112"/>
      <c r="K53" s="112"/>
      <c r="L53" s="113"/>
      <c r="M53" s="113"/>
      <c r="N53" s="113"/>
      <c r="O53" s="113"/>
      <c r="P53" s="109"/>
    </row>
    <row r="54" spans="2:16" ht="15" customHeight="1">
      <c r="B54" s="500" t="str">
        <f>'BW3-Variable Input'!$B$33</f>
        <v>Winter cover crop seed</v>
      </c>
      <c r="C54" s="513"/>
      <c r="D54" s="521"/>
      <c r="E54" s="521"/>
      <c r="F54" s="527">
        <f>'BW3-Variable Input'!$C$33</f>
        <v>31.793452380952385</v>
      </c>
      <c r="G54" s="485"/>
      <c r="H54" s="485"/>
      <c r="I54" s="115"/>
      <c r="J54" s="118"/>
      <c r="K54" s="112"/>
      <c r="L54" s="113"/>
      <c r="M54" s="113"/>
      <c r="N54" s="113"/>
      <c r="O54" s="113"/>
      <c r="P54" s="109"/>
    </row>
    <row r="55" spans="2:16" s="453" customFormat="1" ht="15" customHeight="1">
      <c r="B55" s="824" t="s">
        <v>508</v>
      </c>
      <c r="C55" s="444">
        <f>SUM(C50:C54)</f>
        <v>67.279709999999994</v>
      </c>
      <c r="D55" s="444">
        <f>SUM(D50:D54)</f>
        <v>18.626988205255401</v>
      </c>
      <c r="E55" s="444">
        <f>SUM(E50:E54)</f>
        <v>24.54418041227121</v>
      </c>
      <c r="F55" s="444">
        <f>SUM(F50:F54)</f>
        <v>31.793452380952385</v>
      </c>
      <c r="G55" s="447" t="s">
        <v>4</v>
      </c>
      <c r="H55" s="446">
        <f>SUM(C55:F55)</f>
        <v>142.24433099847897</v>
      </c>
      <c r="I55" s="117"/>
      <c r="J55" s="476"/>
      <c r="K55" s="476"/>
      <c r="L55" s="478"/>
      <c r="M55" s="478"/>
      <c r="N55" s="478"/>
      <c r="O55" s="478"/>
      <c r="P55" s="475"/>
    </row>
    <row r="56" spans="2:16" s="120" customFormat="1" ht="15" customHeight="1">
      <c r="B56" s="593"/>
      <c r="C56" s="133"/>
      <c r="D56" s="133"/>
      <c r="E56" s="133"/>
      <c r="F56" s="133"/>
      <c r="G56" s="463"/>
      <c r="H56" s="463"/>
      <c r="I56" s="115"/>
      <c r="J56" s="825"/>
      <c r="K56" s="127"/>
      <c r="L56" s="113"/>
      <c r="M56" s="113"/>
      <c r="N56" s="113"/>
      <c r="O56" s="113"/>
    </row>
    <row r="57" spans="2:16" s="453" customFormat="1" ht="15" customHeight="1">
      <c r="B57" s="116" t="s">
        <v>515</v>
      </c>
      <c r="C57" s="444">
        <f>C39+C46+C55</f>
        <v>4506.7642170958552</v>
      </c>
      <c r="D57" s="444">
        <f>D39+D46+D55</f>
        <v>205.71695810139585</v>
      </c>
      <c r="E57" s="444">
        <f>E39+E46+E55</f>
        <v>459.36371076858626</v>
      </c>
      <c r="F57" s="444">
        <f>F39+F46+F55</f>
        <v>1037.0385932552244</v>
      </c>
      <c r="G57" s="447" t="s">
        <v>4</v>
      </c>
      <c r="H57" s="446">
        <f>SUM(C57:F57)</f>
        <v>6208.8834792210619</v>
      </c>
      <c r="I57" s="117"/>
      <c r="J57" s="476"/>
      <c r="K57" s="476"/>
      <c r="L57" s="478"/>
      <c r="M57" s="478"/>
      <c r="N57" s="478"/>
      <c r="O57" s="478"/>
      <c r="P57" s="475"/>
    </row>
    <row r="58" spans="2:16" ht="15" customHeight="1">
      <c r="B58" s="114"/>
      <c r="C58" s="133"/>
      <c r="D58" s="133"/>
      <c r="E58" s="133"/>
      <c r="F58" s="133"/>
      <c r="G58" s="463"/>
      <c r="H58" s="463"/>
      <c r="I58" s="110"/>
      <c r="J58" s="112"/>
      <c r="K58" s="112"/>
      <c r="L58" s="113"/>
      <c r="M58" s="113"/>
      <c r="N58" s="113"/>
      <c r="O58" s="113"/>
      <c r="P58" s="109"/>
    </row>
    <row r="59" spans="2:16">
      <c r="B59" s="1032"/>
      <c r="C59" s="1033"/>
      <c r="D59" s="1033"/>
      <c r="E59" s="1033"/>
      <c r="F59" s="1033"/>
      <c r="G59" s="1033"/>
      <c r="H59" s="1033"/>
    </row>
    <row r="60" spans="2:16">
      <c r="B60" s="916"/>
      <c r="C60" s="916"/>
      <c r="D60" s="916"/>
      <c r="E60" s="916"/>
      <c r="F60" s="916"/>
      <c r="G60" s="916"/>
      <c r="H60" s="916"/>
    </row>
    <row r="61" spans="2:16">
      <c r="B61" s="116" t="s">
        <v>664</v>
      </c>
      <c r="C61" s="916"/>
      <c r="D61" s="916"/>
      <c r="E61" s="916"/>
      <c r="F61" s="916"/>
      <c r="G61" s="916"/>
      <c r="H61" s="916"/>
    </row>
    <row r="62" spans="2:16">
      <c r="B62" s="985" t="s">
        <v>668</v>
      </c>
      <c r="C62" s="916"/>
      <c r="D62" s="916"/>
      <c r="E62" s="916"/>
      <c r="F62" s="916"/>
      <c r="G62" s="916"/>
      <c r="H62" s="986">
        <f>C39+C55</f>
        <v>1604.5022170958555</v>
      </c>
    </row>
    <row r="63" spans="2:16">
      <c r="B63" s="135" t="s">
        <v>667</v>
      </c>
      <c r="C63" s="916"/>
      <c r="D63" s="916"/>
      <c r="E63" s="916"/>
      <c r="F63" s="916"/>
      <c r="G63" s="916"/>
      <c r="H63" s="986">
        <f>D39+D55</f>
        <v>205.58410946627109</v>
      </c>
    </row>
    <row r="64" spans="2:16" ht="15" customHeight="1">
      <c r="B64" s="985" t="s">
        <v>669</v>
      </c>
      <c r="C64" s="469"/>
      <c r="D64" s="133"/>
      <c r="E64" s="444"/>
      <c r="F64" s="464"/>
      <c r="G64" s="442"/>
      <c r="H64" s="463">
        <f>F39+F55</f>
        <v>949.91863825522444</v>
      </c>
      <c r="I64" s="118"/>
      <c r="J64" s="112"/>
      <c r="K64" s="113"/>
      <c r="L64" s="113"/>
      <c r="M64" s="113"/>
      <c r="N64" s="113"/>
      <c r="O64" s="109"/>
    </row>
    <row r="65" spans="2:16" ht="15" customHeight="1">
      <c r="B65" s="831" t="s">
        <v>666</v>
      </c>
      <c r="C65" s="469"/>
      <c r="D65" s="469"/>
      <c r="E65" s="592"/>
      <c r="F65" s="464"/>
      <c r="G65" s="442"/>
      <c r="H65" s="848">
        <f>SUM(H62:H64)</f>
        <v>2760.0049648173508</v>
      </c>
      <c r="I65" s="112"/>
      <c r="J65" s="112"/>
      <c r="K65" s="113"/>
      <c r="L65" s="113"/>
      <c r="M65" s="113"/>
      <c r="N65" s="113"/>
      <c r="O65" s="109"/>
    </row>
    <row r="66" spans="2:16" ht="15" customHeight="1">
      <c r="B66" s="985" t="s">
        <v>680</v>
      </c>
      <c r="C66" s="469"/>
      <c r="D66" s="469"/>
      <c r="E66" s="469"/>
      <c r="F66" s="132"/>
      <c r="G66" s="442"/>
      <c r="H66" s="463">
        <f>C46</f>
        <v>2902.2619999999997</v>
      </c>
      <c r="I66" s="112"/>
      <c r="J66" s="112"/>
      <c r="K66" s="113"/>
      <c r="L66" s="113"/>
      <c r="M66" s="113"/>
      <c r="N66" s="113"/>
      <c r="O66" s="109"/>
    </row>
    <row r="67" spans="2:16" ht="15" customHeight="1">
      <c r="B67" s="985" t="s">
        <v>445</v>
      </c>
      <c r="C67" s="469"/>
      <c r="D67" s="469"/>
      <c r="E67" s="469"/>
      <c r="F67" s="132"/>
      <c r="G67" s="442"/>
      <c r="H67" s="463">
        <f>D46</f>
        <v>0.13284863512476036</v>
      </c>
      <c r="I67" s="112"/>
      <c r="J67" s="112"/>
      <c r="K67" s="113"/>
      <c r="L67" s="113"/>
      <c r="M67" s="113"/>
      <c r="N67" s="113"/>
      <c r="O67" s="109"/>
    </row>
    <row r="68" spans="2:16" ht="15" customHeight="1">
      <c r="B68" s="985" t="s">
        <v>670</v>
      </c>
      <c r="C68" s="469"/>
      <c r="D68" s="444"/>
      <c r="E68" s="469"/>
      <c r="F68" s="132"/>
      <c r="G68" s="132"/>
      <c r="H68" s="463">
        <f>F46</f>
        <v>87.11995499999999</v>
      </c>
      <c r="I68" s="112"/>
      <c r="J68" s="112"/>
      <c r="K68" s="113"/>
      <c r="L68" s="113"/>
      <c r="M68" s="113"/>
      <c r="N68" s="113"/>
      <c r="O68" s="109"/>
    </row>
    <row r="69" spans="2:16" ht="15" customHeight="1">
      <c r="B69" s="831" t="s">
        <v>671</v>
      </c>
      <c r="C69" s="43"/>
      <c r="D69" s="43"/>
      <c r="E69" s="832"/>
      <c r="F69" s="43"/>
      <c r="G69" s="43"/>
      <c r="H69" s="598">
        <f>SUM(H66:H68)</f>
        <v>2989.5148036351247</v>
      </c>
      <c r="I69" s="112"/>
      <c r="J69" s="112"/>
      <c r="K69" s="113"/>
      <c r="L69" s="113"/>
      <c r="M69" s="113"/>
      <c r="N69" s="113"/>
      <c r="O69" s="109"/>
    </row>
    <row r="70" spans="2:16" ht="15" customHeight="1">
      <c r="B70" s="833" t="s">
        <v>513</v>
      </c>
      <c r="C70" s="919"/>
      <c r="D70" s="919"/>
      <c r="E70" s="987"/>
      <c r="F70" s="988"/>
      <c r="G70" s="919"/>
      <c r="H70" s="818">
        <f>H65+H69</f>
        <v>5749.5197684524755</v>
      </c>
      <c r="I70" s="112"/>
      <c r="J70" s="112"/>
      <c r="K70" s="113"/>
      <c r="L70" s="113"/>
      <c r="M70" s="113"/>
      <c r="N70" s="113"/>
      <c r="O70" s="109"/>
    </row>
    <row r="71" spans="2:16" ht="15" customHeight="1">
      <c r="B71" s="985" t="s">
        <v>672</v>
      </c>
      <c r="C71" s="135"/>
      <c r="D71" s="135"/>
      <c r="E71" s="472"/>
      <c r="F71" s="135"/>
      <c r="G71" s="135"/>
      <c r="H71" s="989">
        <f>E39+E55</f>
        <v>458.62862554131351</v>
      </c>
      <c r="I71" s="112"/>
      <c r="J71" s="112"/>
      <c r="K71" s="113"/>
      <c r="L71" s="113"/>
      <c r="M71" s="113"/>
      <c r="N71" s="113"/>
      <c r="O71" s="109"/>
    </row>
    <row r="72" spans="2:16" ht="15" customHeight="1">
      <c r="B72" s="985" t="s">
        <v>673</v>
      </c>
      <c r="C72" s="135"/>
      <c r="D72" s="135"/>
      <c r="E72" s="472"/>
      <c r="F72" s="135"/>
      <c r="G72" s="135"/>
      <c r="H72" s="990">
        <f>E46</f>
        <v>0.73508522727272718</v>
      </c>
      <c r="I72" s="112"/>
      <c r="J72" s="112"/>
      <c r="K72" s="113"/>
      <c r="L72" s="113"/>
      <c r="M72" s="113"/>
      <c r="N72" s="113"/>
      <c r="O72" s="109"/>
    </row>
    <row r="73" spans="2:16" ht="15" customHeight="1">
      <c r="B73" s="837" t="s">
        <v>514</v>
      </c>
      <c r="C73" s="919"/>
      <c r="D73" s="919"/>
      <c r="E73" s="987"/>
      <c r="F73" s="988"/>
      <c r="G73" s="919"/>
      <c r="H73" s="819">
        <f>H71+H72</f>
        <v>459.36371076858626</v>
      </c>
      <c r="I73" s="112"/>
      <c r="J73" s="112"/>
      <c r="K73" s="113"/>
      <c r="L73" s="113"/>
      <c r="M73" s="113"/>
      <c r="N73" s="113"/>
      <c r="O73" s="109"/>
    </row>
    <row r="74" spans="2:16" ht="15" customHeight="1">
      <c r="B74" s="264"/>
      <c r="C74" s="469"/>
      <c r="D74" s="242"/>
      <c r="E74" s="469"/>
      <c r="F74" s="132"/>
      <c r="G74" s="132"/>
      <c r="H74" s="442"/>
      <c r="I74" s="112"/>
      <c r="J74" s="112"/>
      <c r="K74" s="113"/>
      <c r="L74" s="113"/>
      <c r="M74" s="113"/>
      <c r="N74" s="113"/>
      <c r="O74" s="109"/>
    </row>
    <row r="75" spans="2:16">
      <c r="B75" s="132"/>
      <c r="C75" s="469"/>
      <c r="D75" s="469"/>
      <c r="E75" s="469"/>
      <c r="F75" s="132"/>
      <c r="G75" s="442"/>
      <c r="H75" s="442"/>
      <c r="I75" s="112"/>
      <c r="J75" s="112"/>
      <c r="K75" s="111"/>
      <c r="L75" s="111"/>
      <c r="M75" s="111"/>
      <c r="N75" s="111"/>
      <c r="O75" s="109"/>
    </row>
    <row r="76" spans="2:16">
      <c r="B76" s="132"/>
      <c r="C76" s="132"/>
      <c r="D76" s="132"/>
      <c r="E76" s="132"/>
      <c r="F76" s="132"/>
      <c r="G76" s="442"/>
      <c r="H76" s="442"/>
      <c r="I76" s="112"/>
      <c r="J76" s="112"/>
      <c r="K76" s="111"/>
      <c r="L76" s="111"/>
      <c r="M76" s="111"/>
      <c r="N76" s="111"/>
      <c r="O76" s="109"/>
    </row>
    <row r="77" spans="2:16">
      <c r="B77" s="110"/>
      <c r="C77" s="133"/>
      <c r="D77" s="133"/>
      <c r="E77" s="133"/>
      <c r="F77" s="133"/>
      <c r="H77" s="243"/>
      <c r="K77" s="109"/>
      <c r="L77" s="109"/>
      <c r="M77" s="109"/>
      <c r="N77" s="109"/>
      <c r="O77" s="109"/>
    </row>
    <row r="78" spans="2:16">
      <c r="B78" s="110"/>
      <c r="C78" s="109"/>
      <c r="D78" s="110"/>
      <c r="E78" s="110"/>
      <c r="F78" s="110"/>
      <c r="G78" s="110"/>
      <c r="H78" s="109"/>
      <c r="I78" s="110"/>
      <c r="L78" s="109"/>
      <c r="M78" s="109"/>
      <c r="N78" s="109"/>
      <c r="O78" s="109"/>
      <c r="P78"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81"/>
  <sheetViews>
    <sheetView showGridLines="0" view="pageLayout" topLeftCell="A31" workbookViewId="0">
      <selection activeCell="B44" sqref="B44"/>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42578125" style="108" customWidth="1"/>
    <col min="10" max="11" width="8.7109375" style="108"/>
    <col min="12" max="12" width="12.42578125" style="108" customWidth="1"/>
    <col min="13" max="15" width="8.7109375" style="108"/>
    <col min="16" max="16" width="11.5703125" style="108" customWidth="1"/>
    <col min="17" max="16384" width="8.7109375" style="108"/>
  </cols>
  <sheetData>
    <row r="1" spans="2:17" ht="16" thickBot="1">
      <c r="F1" s="563"/>
      <c r="G1" s="1263" t="s">
        <v>512</v>
      </c>
      <c r="H1" s="1264"/>
    </row>
    <row r="2" spans="2:17" ht="25" customHeight="1">
      <c r="B2" s="1024" t="str">
        <f>'Workbook Index'!B43</f>
        <v>Lettuce, Head</v>
      </c>
      <c r="C2" s="221"/>
      <c r="D2" s="221"/>
      <c r="E2" s="221"/>
      <c r="I2" s="109"/>
      <c r="J2" s="109"/>
      <c r="K2" s="109"/>
    </row>
    <row r="3" spans="2:17" ht="33.5" customHeight="1">
      <c r="B3" s="1027" t="s">
        <v>716</v>
      </c>
      <c r="C3" s="132" t="s">
        <v>367</v>
      </c>
      <c r="E3" s="222" t="s">
        <v>14</v>
      </c>
      <c r="F3"/>
      <c r="G3"/>
      <c r="H3"/>
      <c r="I3" s="109"/>
      <c r="J3" s="117"/>
      <c r="K3" s="129"/>
      <c r="L3" s="112"/>
      <c r="M3" s="112"/>
      <c r="N3" s="112"/>
      <c r="O3" s="112"/>
      <c r="P3" s="112"/>
    </row>
    <row r="4" spans="2:17">
      <c r="B4" s="918"/>
      <c r="C4" s="132" t="s">
        <v>47</v>
      </c>
      <c r="D4" s="916"/>
      <c r="E4" s="1067">
        <f>'BW1-Bed and Row Spacing'!J25</f>
        <v>6701.5384615384619</v>
      </c>
      <c r="F4" s="135"/>
      <c r="G4" s="135"/>
      <c r="H4" s="135"/>
      <c r="I4" s="109"/>
      <c r="J4" s="110"/>
      <c r="K4" s="111"/>
      <c r="L4" s="112"/>
      <c r="M4" s="112"/>
      <c r="N4" s="112"/>
      <c r="O4" s="112"/>
      <c r="P4" s="112"/>
    </row>
    <row r="5" spans="2:17">
      <c r="B5" s="915"/>
      <c r="C5" s="132" t="s">
        <v>366</v>
      </c>
      <c r="D5" s="916"/>
      <c r="E5" s="1338" t="s">
        <v>819</v>
      </c>
      <c r="F5" s="1338"/>
      <c r="G5" s="1338"/>
      <c r="H5" s="1338"/>
      <c r="I5" s="127"/>
      <c r="J5" s="110"/>
      <c r="K5" s="111"/>
      <c r="L5" s="112"/>
      <c r="M5" s="112"/>
      <c r="N5" s="112"/>
      <c r="O5" s="112"/>
      <c r="P5" s="112"/>
    </row>
    <row r="6" spans="2:17">
      <c r="B6" s="223"/>
      <c r="C6" s="915"/>
      <c r="D6" s="916"/>
      <c r="E6" s="1338"/>
      <c r="F6" s="1338"/>
      <c r="G6" s="1338"/>
      <c r="H6" s="1338"/>
      <c r="K6" s="112"/>
      <c r="L6" s="112"/>
      <c r="M6" s="112"/>
    </row>
    <row r="7" spans="2:17">
      <c r="B7" s="1032"/>
      <c r="C7" s="1033"/>
      <c r="D7" s="1033"/>
      <c r="E7" s="1033"/>
      <c r="F7" s="1033"/>
      <c r="G7" s="1033"/>
      <c r="H7" s="1033"/>
    </row>
    <row r="8" spans="2:17">
      <c r="B8" s="553" t="s">
        <v>517</v>
      </c>
      <c r="C8" s="492"/>
      <c r="D8" s="492"/>
      <c r="E8" s="492"/>
      <c r="F8" s="492"/>
      <c r="G8" s="492"/>
      <c r="H8" s="492"/>
    </row>
    <row r="9" spans="2:17" customFormat="1" ht="33" customHeight="1">
      <c r="B9" s="420" t="s">
        <v>711</v>
      </c>
      <c r="C9" s="421" t="s">
        <v>707</v>
      </c>
      <c r="D9" s="421" t="s">
        <v>708</v>
      </c>
      <c r="E9" s="421" t="s">
        <v>709</v>
      </c>
      <c r="F9" s="421" t="s">
        <v>710</v>
      </c>
      <c r="G9" s="919"/>
      <c r="H9" s="920"/>
      <c r="M9" s="112"/>
      <c r="N9" s="112"/>
      <c r="O9" s="112"/>
      <c r="P9" s="6"/>
      <c r="Q9" s="6"/>
    </row>
    <row r="10" spans="2:17" customFormat="1" ht="30">
      <c r="B10" s="993" t="s">
        <v>516</v>
      </c>
      <c r="C10" s="991" t="s">
        <v>849</v>
      </c>
      <c r="D10" s="991" t="s">
        <v>849</v>
      </c>
      <c r="E10" s="991" t="s">
        <v>849</v>
      </c>
      <c r="F10" s="991" t="s">
        <v>850</v>
      </c>
      <c r="G10" s="992"/>
      <c r="H10" s="462"/>
      <c r="M10" s="112"/>
      <c r="N10" s="112"/>
      <c r="O10" s="6"/>
      <c r="P10" s="6"/>
    </row>
    <row r="11" spans="2:17" ht="17" customHeight="1">
      <c r="B11" s="921" t="s">
        <v>298</v>
      </c>
      <c r="C11" s="511"/>
      <c r="D11" s="519"/>
      <c r="E11" s="519"/>
      <c r="F11" s="525"/>
      <c r="G11" s="1335" t="s">
        <v>705</v>
      </c>
      <c r="H11" s="1335"/>
      <c r="I11" s="113"/>
      <c r="J11" s="113"/>
      <c r="K11" s="113"/>
      <c r="L11" s="113"/>
      <c r="M11" s="109"/>
    </row>
    <row r="12" spans="2:17" ht="17" customHeight="1">
      <c r="B12" s="265" t="s">
        <v>145</v>
      </c>
      <c r="C12" s="512">
        <f>('BW2-Field Act. Labor &amp; Mach.'!$I$9)/2</f>
        <v>4.617235</v>
      </c>
      <c r="D12" s="520">
        <f>('BW2-Field Act. Labor &amp; Mach.'!K9)/2</f>
        <v>3.5813406372812948</v>
      </c>
      <c r="E12" s="520">
        <f>('BW2-Field Act. Labor &amp; Mach.'!L9)/2</f>
        <v>3.2848834445648656</v>
      </c>
      <c r="F12" s="526"/>
      <c r="G12" s="1336"/>
      <c r="H12" s="1336"/>
      <c r="I12" s="113"/>
      <c r="J12" s="113"/>
      <c r="K12" s="113"/>
      <c r="L12" s="113"/>
      <c r="M12" s="109"/>
    </row>
    <row r="13" spans="2:17" ht="17" customHeight="1">
      <c r="B13" s="462" t="s">
        <v>45</v>
      </c>
      <c r="C13" s="512">
        <f>('BW2-Field Act. Labor &amp; Mach.'!$I$69)/2</f>
        <v>7.2556550000000009</v>
      </c>
      <c r="D13" s="520">
        <f>('BW2-Field Act. Labor &amp; Mach.'!K69)/2</f>
        <v>2.9523363870071488</v>
      </c>
      <c r="E13" s="520">
        <f>('BW2-Field Act. Labor &amp; Mach.'!L69)/2</f>
        <v>4.020790543150059</v>
      </c>
      <c r="F13" s="526"/>
      <c r="G13" s="1336"/>
      <c r="H13" s="1336"/>
      <c r="I13" s="113"/>
      <c r="J13" s="113"/>
      <c r="K13" s="113"/>
      <c r="L13" s="113"/>
      <c r="M13" s="109"/>
    </row>
    <row r="14" spans="2:17" ht="17" customHeight="1">
      <c r="B14" s="500" t="str">
        <f>'BW3-Variable Input'!$B$34</f>
        <v>Summer cover crop seed</v>
      </c>
      <c r="C14" s="513"/>
      <c r="D14" s="521"/>
      <c r="E14" s="521"/>
      <c r="F14" s="527">
        <f>('BW3-Variable Input'!$C$34)/2</f>
        <v>16.173333333333336</v>
      </c>
      <c r="G14" s="1337"/>
      <c r="H14" s="1337"/>
      <c r="I14" s="113"/>
      <c r="J14" s="113"/>
      <c r="K14" s="113"/>
      <c r="L14" s="113"/>
      <c r="M14" s="109"/>
    </row>
    <row r="15" spans="2:17" ht="17" customHeight="1">
      <c r="B15" s="264"/>
      <c r="C15" s="456"/>
      <c r="D15" s="456"/>
      <c r="E15" s="456"/>
      <c r="F15" s="456"/>
      <c r="G15" s="455"/>
      <c r="H15" s="464"/>
      <c r="I15" s="112"/>
      <c r="J15" s="112"/>
      <c r="K15" s="112"/>
      <c r="L15" s="112"/>
      <c r="M15" s="112"/>
    </row>
    <row r="16" spans="2:17" ht="17" customHeight="1">
      <c r="B16" s="922" t="s">
        <v>181</v>
      </c>
      <c r="C16" s="514"/>
      <c r="D16" s="522"/>
      <c r="E16" s="522"/>
      <c r="F16" s="528"/>
      <c r="G16" s="509"/>
      <c r="H16" s="509"/>
      <c r="I16" s="112"/>
      <c r="J16" s="112"/>
      <c r="K16" s="112"/>
      <c r="L16" s="112"/>
    </row>
    <row r="17" spans="2:12" ht="17" customHeight="1">
      <c r="B17" s="265" t="s">
        <v>145</v>
      </c>
      <c r="C17" s="512">
        <f>'BW2-Field Act. Labor &amp; Mach.'!I9</f>
        <v>9.23447</v>
      </c>
      <c r="D17" s="520">
        <f>'BW2-Field Act. Labor &amp; Mach.'!K9</f>
        <v>7.1626812745625896</v>
      </c>
      <c r="E17" s="520">
        <f>'BW2-Field Act. Labor &amp; Mach.'!L9</f>
        <v>6.5697668891297312</v>
      </c>
      <c r="F17" s="526"/>
      <c r="G17" s="465"/>
      <c r="H17" s="465"/>
      <c r="I17" s="118"/>
      <c r="J17" s="112"/>
      <c r="K17" s="112"/>
      <c r="L17" s="112"/>
    </row>
    <row r="18" spans="2:12" ht="17" customHeight="1">
      <c r="B18" s="132" t="s">
        <v>46</v>
      </c>
      <c r="C18" s="512">
        <f>'BW2-Field Act. Labor &amp; Mach.'!I10</f>
        <v>11.87289</v>
      </c>
      <c r="D18" s="520">
        <f>'BW2-Field Act. Labor &amp; Mach.'!K10</f>
        <v>16.900081383311999</v>
      </c>
      <c r="E18" s="520">
        <f>'BW2-Field Act. Labor &amp; Mach.'!L10</f>
        <v>23.703168100043012</v>
      </c>
      <c r="F18" s="526"/>
      <c r="G18" s="133"/>
      <c r="H18" s="465"/>
      <c r="I18" s="112"/>
      <c r="J18" s="118"/>
      <c r="K18" s="112"/>
      <c r="L18" s="112"/>
    </row>
    <row r="19" spans="2:12" ht="17" customHeight="1">
      <c r="B19" s="151" t="s">
        <v>69</v>
      </c>
      <c r="C19" s="512"/>
      <c r="D19" s="520"/>
      <c r="E19" s="520"/>
      <c r="F19" s="526">
        <f>'BW3-Variable Input'!C9</f>
        <v>116.66666666666667</v>
      </c>
      <c r="G19" s="133"/>
      <c r="H19" s="465"/>
      <c r="I19" s="112"/>
      <c r="J19" s="118"/>
      <c r="K19" s="112"/>
      <c r="L19" s="112"/>
    </row>
    <row r="20" spans="2:12" ht="17" customHeight="1">
      <c r="B20" s="132" t="s">
        <v>11</v>
      </c>
      <c r="C20" s="512">
        <f>'BW2-Field Act. Labor &amp; Mach.'!I13</f>
        <v>22.426569999999998</v>
      </c>
      <c r="D20" s="520">
        <f>'BW2-Field Act. Labor &amp; Mach.'!K13</f>
        <v>17.993866831056</v>
      </c>
      <c r="E20" s="520">
        <f>'BW2-Field Act. Labor &amp; Mach.'!L13</f>
        <v>44.771770188886023</v>
      </c>
      <c r="F20" s="526"/>
      <c r="G20" s="133"/>
      <c r="H20" s="463"/>
      <c r="I20" s="112"/>
      <c r="J20" s="118"/>
      <c r="K20" s="112"/>
      <c r="L20" s="112"/>
    </row>
    <row r="21" spans="2:12" ht="17" customHeight="1">
      <c r="B21" s="132" t="s">
        <v>12</v>
      </c>
      <c r="C21" s="512">
        <f>'BW2-Field Act. Labor &amp; Mach.'!I14</f>
        <v>10.55368</v>
      </c>
      <c r="D21" s="520">
        <f>'BW2-Field Act. Labor &amp; Mach.'!K14</f>
        <v>9.2140341759999984</v>
      </c>
      <c r="E21" s="520">
        <f>'BW2-Field Act. Labor &amp; Mach.'!L14</f>
        <v>29.935417361494395</v>
      </c>
      <c r="F21" s="526"/>
      <c r="G21" s="133"/>
      <c r="H21" s="463"/>
      <c r="I21" s="112"/>
      <c r="J21" s="112"/>
      <c r="K21" s="112"/>
      <c r="L21" s="112"/>
    </row>
    <row r="22" spans="2:12" ht="17" customHeight="1">
      <c r="B22" s="132" t="s">
        <v>144</v>
      </c>
      <c r="C22" s="512">
        <f>'BW2-Field Act. Labor &amp; Mach.'!I15</f>
        <v>59.364449999999998</v>
      </c>
      <c r="D22" s="520">
        <f>'BW2-Field Act. Labor &amp; Mach.'!K15</f>
        <v>11.732543673988348</v>
      </c>
      <c r="E22" s="520">
        <f>'BW2-Field Act. Labor &amp; Mach.'!L15</f>
        <v>19.938595491388046</v>
      </c>
      <c r="F22" s="526"/>
      <c r="G22" s="265"/>
      <c r="H22" s="463"/>
      <c r="I22" s="112"/>
      <c r="J22" s="112"/>
      <c r="K22" s="112"/>
      <c r="L22" s="112"/>
    </row>
    <row r="23" spans="2:12" ht="17" customHeight="1">
      <c r="B23" s="151" t="s">
        <v>313</v>
      </c>
      <c r="C23" s="512"/>
      <c r="D23" s="520"/>
      <c r="E23" s="520"/>
      <c r="F23" s="526">
        <f>'BW3-Variable Input'!C23</f>
        <v>125.09538461538463</v>
      </c>
      <c r="G23" s="133"/>
      <c r="H23" s="463"/>
      <c r="I23" s="112"/>
      <c r="J23" s="112"/>
      <c r="K23" s="112"/>
      <c r="L23" s="112"/>
    </row>
    <row r="24" spans="2:12" ht="17" customHeight="1">
      <c r="B24" s="416" t="s">
        <v>192</v>
      </c>
      <c r="C24" s="513">
        <f>'BW2-Field Act. Labor &amp; Mach.'!I16*2</f>
        <v>21.10736</v>
      </c>
      <c r="D24" s="521">
        <f>'BW2-Field Act. Labor &amp; Mach.'!K16*2</f>
        <v>12.051200395575469</v>
      </c>
      <c r="E24" s="521">
        <f>'BW2-Field Act. Labor &amp; Mach.'!L16*2</f>
        <v>17.332156747393537</v>
      </c>
      <c r="F24" s="527"/>
      <c r="G24" s="486"/>
      <c r="H24" s="485"/>
      <c r="I24" s="112"/>
      <c r="J24" s="112"/>
      <c r="K24" s="112"/>
      <c r="L24" s="112"/>
    </row>
    <row r="25" spans="2:12" ht="17" customHeight="1">
      <c r="B25" s="132"/>
      <c r="C25" s="133"/>
      <c r="D25" s="133"/>
      <c r="E25" s="133"/>
      <c r="F25" s="133"/>
      <c r="G25" s="133"/>
      <c r="H25" s="466"/>
      <c r="I25" s="112"/>
      <c r="J25" s="112"/>
      <c r="K25" s="112"/>
      <c r="L25" s="112"/>
    </row>
    <row r="26" spans="2:12" ht="17" customHeight="1">
      <c r="B26" s="921" t="s">
        <v>10</v>
      </c>
      <c r="C26" s="515"/>
      <c r="D26" s="438"/>
      <c r="E26" s="438"/>
      <c r="F26" s="529"/>
      <c r="G26" s="422"/>
      <c r="H26" s="494"/>
      <c r="I26" s="112"/>
      <c r="J26" s="112"/>
      <c r="K26" s="112"/>
      <c r="L26" s="112"/>
    </row>
    <row r="27" spans="2:12" ht="17" customHeight="1">
      <c r="B27" s="132" t="str">
        <f>'BW2-Field Act. Labor &amp; Mach.'!B21</f>
        <v>Transplant on bareground</v>
      </c>
      <c r="C27" s="512">
        <f>'BW2-Field Act. Labor &amp; Mach.'!I21</f>
        <v>237.45779999999999</v>
      </c>
      <c r="D27" s="520">
        <f>'BW2-Field Act. Labor &amp; Mach.'!K21</f>
        <v>36.893392063675897</v>
      </c>
      <c r="E27" s="520">
        <f>'BW2-Field Act. Labor &amp; Mach.'!L21</f>
        <v>114.11450861195542</v>
      </c>
      <c r="F27" s="526"/>
      <c r="G27" s="133"/>
      <c r="H27" s="463"/>
      <c r="I27" s="112"/>
      <c r="J27" s="112"/>
      <c r="K27" s="112"/>
      <c r="L27" s="112"/>
    </row>
    <row r="28" spans="2:12" ht="17" customHeight="1">
      <c r="B28" s="151" t="s">
        <v>685</v>
      </c>
      <c r="C28" s="512"/>
      <c r="D28" s="520"/>
      <c r="E28" s="520"/>
      <c r="F28" s="526">
        <f>'BW4-Transplant Production'!F17</f>
        <v>29.705462769230778</v>
      </c>
      <c r="G28" s="1029" t="s">
        <v>720</v>
      </c>
      <c r="H28" s="463"/>
      <c r="I28" s="112"/>
      <c r="J28" s="112"/>
      <c r="K28" s="112"/>
      <c r="L28" s="112"/>
    </row>
    <row r="29" spans="2:12" ht="17" customHeight="1">
      <c r="B29" s="151" t="s">
        <v>459</v>
      </c>
      <c r="C29" s="512">
        <f>'BW4-Transplant Production'!D17</f>
        <v>469.3291237809496</v>
      </c>
      <c r="D29" s="520"/>
      <c r="E29" s="520"/>
      <c r="F29" s="526">
        <f>'BW4-Transplant Production'!E17</f>
        <v>274.10564313809783</v>
      </c>
      <c r="G29" s="1029" t="s">
        <v>720</v>
      </c>
      <c r="H29" s="463"/>
      <c r="I29" s="112"/>
      <c r="J29" s="112"/>
      <c r="K29" s="112"/>
      <c r="L29" s="112"/>
    </row>
    <row r="30" spans="2:12" ht="17" customHeight="1">
      <c r="B30" s="418" t="s">
        <v>315</v>
      </c>
      <c r="C30" s="513"/>
      <c r="D30" s="521"/>
      <c r="E30" s="521"/>
      <c r="F30" s="527">
        <f>'BW3-Variable Input'!C10</f>
        <v>124</v>
      </c>
      <c r="G30" s="486"/>
      <c r="H30" s="485"/>
      <c r="I30" s="112"/>
      <c r="J30" s="112"/>
      <c r="K30" s="112"/>
      <c r="L30" s="112"/>
    </row>
    <row r="31" spans="2:12" ht="17" customHeight="1">
      <c r="B31" s="151"/>
      <c r="C31" s="133"/>
      <c r="D31" s="133"/>
      <c r="E31" s="133"/>
      <c r="F31" s="133"/>
      <c r="G31" s="133"/>
      <c r="H31" s="463"/>
      <c r="I31" s="112"/>
      <c r="J31" s="112"/>
      <c r="K31" s="112"/>
      <c r="L31" s="112"/>
    </row>
    <row r="32" spans="2:12" ht="17" customHeight="1">
      <c r="B32" s="921" t="s">
        <v>37</v>
      </c>
      <c r="C32" s="515"/>
      <c r="D32" s="438"/>
      <c r="E32" s="438"/>
      <c r="F32" s="529"/>
      <c r="G32" s="422"/>
      <c r="H32" s="494"/>
      <c r="I32" s="112"/>
      <c r="J32" s="112"/>
      <c r="K32" s="112"/>
      <c r="L32" s="112"/>
    </row>
    <row r="33" spans="2:16" ht="17" customHeight="1">
      <c r="B33" s="462" t="s">
        <v>179</v>
      </c>
      <c r="C33" s="512">
        <f>'BW2-Field Act. Labor &amp; Mach.'!$I$31*2</f>
        <v>10.55368</v>
      </c>
      <c r="D33" s="520">
        <f>'BW2-Field Act. Labor &amp; Mach.'!K31*2</f>
        <v>1.6570295666513035</v>
      </c>
      <c r="E33" s="520">
        <f>'BW2-Field Act. Labor &amp; Mach.'!L31*2</f>
        <v>27.363002680965153</v>
      </c>
      <c r="F33" s="526"/>
      <c r="G33" s="133"/>
      <c r="H33" s="133"/>
      <c r="I33" s="112"/>
      <c r="J33" s="112"/>
      <c r="K33" s="112"/>
      <c r="L33" s="112"/>
    </row>
    <row r="34" spans="2:16" ht="17" customHeight="1">
      <c r="B34" s="151" t="str">
        <f>'BW5-Irrigation'!$B$8</f>
        <v>Irrigation supply cost</v>
      </c>
      <c r="C34" s="512"/>
      <c r="D34" s="520"/>
      <c r="E34" s="520"/>
      <c r="F34" s="526">
        <f>'BW5-Irrigation'!$E$8</f>
        <v>32.773534158149545</v>
      </c>
      <c r="G34" s="1029" t="s">
        <v>851</v>
      </c>
      <c r="H34" s="133"/>
      <c r="I34" s="112"/>
      <c r="J34" s="112"/>
      <c r="K34" s="112"/>
      <c r="L34" s="112"/>
    </row>
    <row r="35" spans="2:16" ht="17" customHeight="1">
      <c r="B35" s="132" t="str">
        <f>'BW5-Irrigation'!$B$9</f>
        <v>Irrigation set-up labor cost</v>
      </c>
      <c r="C35" s="512">
        <f>'BW5-Irrigation'!$E$9</f>
        <v>50.735370890410955</v>
      </c>
      <c r="D35" s="520"/>
      <c r="E35" s="520"/>
      <c r="F35" s="526"/>
      <c r="G35" s="1029" t="s">
        <v>851</v>
      </c>
      <c r="H35" s="133"/>
      <c r="I35" s="112"/>
      <c r="J35" s="112"/>
      <c r="K35" s="112"/>
      <c r="L35" s="112"/>
    </row>
    <row r="36" spans="2:16" ht="17" customHeight="1">
      <c r="B36" s="132" t="s">
        <v>184</v>
      </c>
      <c r="C36" s="512">
        <f>'BW2-Field Act. Labor &amp; Mach.'!I39*'BW5-Irrigation'!C30</f>
        <v>126.64416</v>
      </c>
      <c r="D36" s="520"/>
      <c r="E36" s="520"/>
      <c r="F36" s="526"/>
      <c r="G36" s="133"/>
      <c r="H36" s="463"/>
      <c r="I36" s="118"/>
      <c r="J36" s="112"/>
      <c r="K36" s="112"/>
      <c r="L36" s="112"/>
    </row>
    <row r="37" spans="2:16" ht="17" customHeight="1">
      <c r="B37" s="462" t="s">
        <v>230</v>
      </c>
      <c r="C37" s="517">
        <v>6.6</v>
      </c>
      <c r="D37" s="523">
        <f>'BW2-Field Act. Labor &amp; Mach.'!K32</f>
        <v>0.70423756582680397</v>
      </c>
      <c r="E37" s="523">
        <f>'BW2-Field Act. Labor &amp; Mach.'!L32</f>
        <v>11.629276139410191</v>
      </c>
      <c r="F37" s="530"/>
      <c r="G37" s="133"/>
      <c r="H37" s="133"/>
      <c r="I37" s="112"/>
      <c r="J37" s="112"/>
      <c r="K37" s="112"/>
      <c r="L37" s="112"/>
    </row>
    <row r="38" spans="2:16" ht="17" customHeight="1">
      <c r="B38" s="482" t="s">
        <v>308</v>
      </c>
      <c r="C38" s="517"/>
      <c r="D38" s="523"/>
      <c r="E38" s="523"/>
      <c r="F38" s="530">
        <v>8.8000000000000007</v>
      </c>
      <c r="G38" s="473"/>
      <c r="H38" s="479"/>
      <c r="I38"/>
      <c r="J38"/>
      <c r="K38"/>
      <c r="L38"/>
      <c r="M38"/>
      <c r="N38"/>
      <c r="O38"/>
      <c r="P38"/>
    </row>
    <row r="39" spans="2:16" ht="17" customHeight="1">
      <c r="B39" s="462" t="s">
        <v>194</v>
      </c>
      <c r="C39" s="512">
        <f>'BW2-Field Act. Labor &amp; Mach.'!I28*2</f>
        <v>21.10736</v>
      </c>
      <c r="D39" s="520">
        <f>'BW2-Field Act. Labor &amp; Mach.'!K28*2</f>
        <v>8.7132183142146751</v>
      </c>
      <c r="E39" s="520">
        <f>'BW2-Field Act. Labor &amp; Mach.'!L28*2</f>
        <v>23.101468332237562</v>
      </c>
      <c r="F39" s="526"/>
      <c r="G39" s="133"/>
      <c r="H39" s="463"/>
      <c r="I39" s="112"/>
      <c r="J39" s="112"/>
      <c r="K39" s="112"/>
      <c r="L39" s="112"/>
    </row>
    <row r="40" spans="2:16" ht="17" customHeight="1">
      <c r="B40" s="473" t="s">
        <v>339</v>
      </c>
      <c r="C40" s="512">
        <f>'BW2-Field Act. Labor &amp; Mach.'!I34</f>
        <v>98.940749999999994</v>
      </c>
      <c r="D40" s="520"/>
      <c r="E40" s="520"/>
      <c r="F40" s="526"/>
      <c r="G40" s="133"/>
      <c r="H40" s="463"/>
      <c r="I40" s="112"/>
      <c r="J40" s="112"/>
      <c r="K40" s="112"/>
      <c r="L40" s="112"/>
    </row>
    <row r="41" spans="2:16" ht="17" customHeight="1">
      <c r="B41" s="493" t="s">
        <v>180</v>
      </c>
      <c r="C41" s="513">
        <f>'BW2-Field Act. Labor &amp; Mach.'!I29*2</f>
        <v>63.32208</v>
      </c>
      <c r="D41" s="521">
        <f>'BW2-Field Act. Labor &amp; Mach.'!K29*2</f>
        <v>18.849340278005133</v>
      </c>
      <c r="E41" s="521">
        <f>'BW2-Field Act. Labor &amp; Mach.'!L29*2</f>
        <v>51.654848024316109</v>
      </c>
      <c r="F41" s="527"/>
      <c r="G41" s="486"/>
      <c r="H41" s="486"/>
      <c r="I41" s="112"/>
      <c r="J41" s="112"/>
      <c r="K41" s="112"/>
      <c r="L41" s="112"/>
    </row>
    <row r="42" spans="2:16" s="453" customFormat="1" ht="17" customHeight="1">
      <c r="B42" s="824" t="s">
        <v>508</v>
      </c>
      <c r="C42" s="444">
        <f>SUM(C12:C14, C17:C24,C27:C30, C33:C41)</f>
        <v>1231.1226346713604</v>
      </c>
      <c r="D42" s="444">
        <f>SUM(D12:D14, D17:D24,D27:D30, D33:D41)</f>
        <v>148.40530254715668</v>
      </c>
      <c r="E42" s="444">
        <f>SUM(E12:E14, E17:E24,E27:E30, E33:E41)</f>
        <v>377.41965255493409</v>
      </c>
      <c r="F42" s="444">
        <f>SUM(F12:F14, F17:F24,F27:F30, F33:F41)</f>
        <v>727.32002468086273</v>
      </c>
      <c r="G42" s="445" t="s">
        <v>4</v>
      </c>
      <c r="H42" s="446">
        <f>SUM(C42:F42)</f>
        <v>2484.2676144543138</v>
      </c>
      <c r="I42" s="477"/>
      <c r="J42" s="477"/>
      <c r="K42" s="477"/>
      <c r="L42" s="477"/>
      <c r="M42" s="475"/>
    </row>
    <row r="43" spans="2:16" s="120" customFormat="1" ht="17" customHeight="1">
      <c r="B43" s="593"/>
      <c r="C43" s="133"/>
      <c r="D43" s="133"/>
      <c r="E43" s="133"/>
      <c r="F43" s="133"/>
      <c r="G43" s="924"/>
      <c r="H43" s="265"/>
    </row>
    <row r="44" spans="2:16" s="119" customFormat="1" ht="17" customHeight="1">
      <c r="B44" s="116" t="s">
        <v>914</v>
      </c>
      <c r="C44" s="133"/>
      <c r="D44" s="133"/>
      <c r="E44" s="133"/>
      <c r="F44" s="133"/>
      <c r="G44" s="924"/>
      <c r="H44" s="265"/>
    </row>
    <row r="45" spans="2:16" ht="17" customHeight="1">
      <c r="B45" s="921" t="s">
        <v>3</v>
      </c>
      <c r="C45" s="514"/>
      <c r="D45" s="522"/>
      <c r="E45" s="522"/>
      <c r="F45" s="528"/>
      <c r="G45" s="983"/>
      <c r="H45" s="491"/>
      <c r="I45" s="111"/>
      <c r="J45" s="111"/>
      <c r="K45" s="111"/>
      <c r="L45" s="111"/>
      <c r="M45" s="109"/>
    </row>
    <row r="46" spans="2:16" ht="17" customHeight="1">
      <c r="B46" s="132" t="s">
        <v>182</v>
      </c>
      <c r="C46" s="512">
        <f>'BW6-Harvest and Wash-Pack'!D25</f>
        <v>527.68399999999997</v>
      </c>
      <c r="D46" s="520">
        <f>'BW2-Field Act. Labor &amp; Mach.'!K54</f>
        <v>0.13284863512476036</v>
      </c>
      <c r="E46" s="520">
        <f>'BW2-Field Act. Labor &amp; Mach.'!L54</f>
        <v>0.73508522727272718</v>
      </c>
      <c r="F46" s="526"/>
      <c r="G46" s="1029" t="s">
        <v>852</v>
      </c>
      <c r="H46" s="265"/>
      <c r="I46" s="113"/>
      <c r="J46" s="113"/>
      <c r="K46" s="113"/>
      <c r="L46" s="113"/>
      <c r="M46" s="109"/>
    </row>
    <row r="47" spans="2:16" ht="17" customHeight="1">
      <c r="B47" s="473" t="s">
        <v>349</v>
      </c>
      <c r="C47" s="512">
        <f>'BW6-Harvest and Wash-Pack'!F25</f>
        <v>329.80250000000001</v>
      </c>
      <c r="D47" s="520"/>
      <c r="E47" s="520"/>
      <c r="F47" s="526"/>
      <c r="G47" s="1029" t="s">
        <v>852</v>
      </c>
      <c r="H47" s="265"/>
      <c r="I47" s="113"/>
      <c r="J47" s="113"/>
      <c r="K47" s="113"/>
      <c r="L47" s="113"/>
      <c r="M47" s="109"/>
    </row>
    <row r="48" spans="2:16" ht="17" customHeight="1">
      <c r="B48" s="418" t="str">
        <f>'BW3-Variable Input'!$B$67</f>
        <v>Sani-Date 5.0 Wash Water Sanitizer</v>
      </c>
      <c r="C48" s="518"/>
      <c r="D48" s="524"/>
      <c r="E48" s="524"/>
      <c r="F48" s="531">
        <f>'BW3-Variable Input'!$H$220</f>
        <v>91.297297297297291</v>
      </c>
      <c r="G48" s="485"/>
      <c r="H48" s="485"/>
      <c r="I48" s="113"/>
      <c r="J48" s="113"/>
      <c r="K48" s="113"/>
      <c r="L48" s="113"/>
      <c r="M48" s="109"/>
    </row>
    <row r="49" spans="2:13" s="453" customFormat="1" ht="17" customHeight="1">
      <c r="B49" s="824" t="s">
        <v>508</v>
      </c>
      <c r="C49" s="444">
        <f>SUM(C46:C48)</f>
        <v>857.48649999999998</v>
      </c>
      <c r="D49" s="444">
        <f>SUM(D46:D48)</f>
        <v>0.13284863512476036</v>
      </c>
      <c r="E49" s="444">
        <f>SUM(E46:E48)</f>
        <v>0.73508522727272718</v>
      </c>
      <c r="F49" s="444">
        <f>SUM(F46:F48)</f>
        <v>91.297297297297291</v>
      </c>
      <c r="G49" s="445" t="s">
        <v>4</v>
      </c>
      <c r="H49" s="446">
        <f>SUM(C49:F49)</f>
        <v>949.6517311596948</v>
      </c>
      <c r="I49" s="477"/>
      <c r="J49" s="477"/>
      <c r="K49" s="477"/>
      <c r="L49" s="477"/>
      <c r="M49" s="475"/>
    </row>
    <row r="50" spans="2:13" s="120" customFormat="1" ht="17" customHeight="1">
      <c r="B50" s="593"/>
      <c r="C50" s="133"/>
      <c r="D50" s="133"/>
      <c r="E50" s="133"/>
      <c r="F50" s="133"/>
      <c r="G50" s="924"/>
      <c r="H50" s="265"/>
    </row>
    <row r="51" spans="2:13" s="119" customFormat="1" ht="17" customHeight="1">
      <c r="B51" s="116" t="s">
        <v>662</v>
      </c>
      <c r="C51" s="133"/>
      <c r="D51" s="133"/>
      <c r="E51" s="133"/>
      <c r="F51" s="133"/>
      <c r="G51" s="924"/>
      <c r="H51" s="265"/>
    </row>
    <row r="52" spans="2:13" ht="17" customHeight="1">
      <c r="B52" s="921" t="s">
        <v>663</v>
      </c>
      <c r="C52" s="515"/>
      <c r="D52" s="438"/>
      <c r="E52" s="438"/>
      <c r="F52" s="529"/>
      <c r="G52" s="494"/>
      <c r="H52" s="494"/>
      <c r="I52" s="113"/>
      <c r="J52" s="113"/>
      <c r="K52" s="113"/>
      <c r="L52" s="113"/>
      <c r="M52" s="109"/>
    </row>
    <row r="53" spans="2:13" ht="17" customHeight="1">
      <c r="B53" s="462" t="s">
        <v>43</v>
      </c>
      <c r="C53" s="512">
        <f>'BW2-Field Act. Labor &amp; Mach.'!$I$66</f>
        <v>5.27684</v>
      </c>
      <c r="D53" s="520">
        <f>'BW2-Field Act. Labor &amp; Mach.'!K66</f>
        <v>4.7393418269465482</v>
      </c>
      <c r="E53" s="520">
        <f>'BW2-Field Act. Labor &amp; Mach.'!L66</f>
        <v>4.8215303303156709</v>
      </c>
      <c r="F53" s="526"/>
      <c r="G53" s="463"/>
      <c r="H53" s="463"/>
      <c r="I53" s="113"/>
      <c r="J53" s="113"/>
      <c r="K53" s="113"/>
      <c r="L53" s="113"/>
      <c r="M53" s="109"/>
    </row>
    <row r="54" spans="2:13" ht="17" customHeight="1">
      <c r="B54" s="132" t="s">
        <v>150</v>
      </c>
      <c r="C54" s="512">
        <f>'BW2-Field Act. Labor &amp; Mach.'!$I$65</f>
        <v>42.21472</v>
      </c>
      <c r="D54" s="520">
        <f>'BW2-Field Act. Labor &amp; Mach.'!K65</f>
        <v>3.4075700159999998</v>
      </c>
      <c r="E54" s="520">
        <f>'BW2-Field Act. Labor &amp; Mach.'!L65</f>
        <v>2.89283314099518</v>
      </c>
      <c r="F54" s="526"/>
      <c r="G54" s="463"/>
      <c r="H54" s="463"/>
      <c r="I54" s="113"/>
      <c r="J54" s="113"/>
      <c r="K54" s="113"/>
      <c r="L54" s="113"/>
      <c r="M54" s="109"/>
    </row>
    <row r="55" spans="2:13" ht="17" customHeight="1">
      <c r="B55" s="462" t="s">
        <v>44</v>
      </c>
      <c r="C55" s="512">
        <f>'BW2-Field Act. Labor &amp; Mach.'!$I$67</f>
        <v>5.27684</v>
      </c>
      <c r="D55" s="520">
        <f>'BW2-Field Act. Labor &amp; Mach.'!K67</f>
        <v>4.5754035882945541</v>
      </c>
      <c r="E55" s="520">
        <f>'BW2-Field Act. Labor &amp; Mach.'!L67</f>
        <v>8.7882358546602415</v>
      </c>
      <c r="F55" s="526"/>
      <c r="G55" s="463"/>
      <c r="H55" s="463"/>
      <c r="I55" s="113"/>
      <c r="J55" s="113"/>
      <c r="K55" s="113"/>
      <c r="L55" s="113"/>
      <c r="M55" s="109"/>
    </row>
    <row r="56" spans="2:13" ht="17" customHeight="1">
      <c r="B56" s="462" t="s">
        <v>45</v>
      </c>
      <c r="C56" s="512">
        <f>'BW2-Field Act. Labor &amp; Mach.'!$I$69</f>
        <v>14.511310000000002</v>
      </c>
      <c r="D56" s="520">
        <f>'BW2-Field Act. Labor &amp; Mach.'!K69</f>
        <v>5.9046727740142977</v>
      </c>
      <c r="E56" s="520">
        <f>'BW2-Field Act. Labor &amp; Mach.'!L69</f>
        <v>8.041581086300118</v>
      </c>
      <c r="F56" s="526"/>
      <c r="G56" s="463"/>
      <c r="H56" s="463"/>
      <c r="I56" s="113"/>
      <c r="J56" s="113"/>
      <c r="K56" s="113"/>
      <c r="L56" s="113"/>
      <c r="M56" s="109"/>
    </row>
    <row r="57" spans="2:13" ht="17" customHeight="1">
      <c r="B57" s="500" t="str">
        <f>'BW3-Variable Input'!$B$33</f>
        <v>Winter cover crop seed</v>
      </c>
      <c r="C57" s="513"/>
      <c r="D57" s="521"/>
      <c r="E57" s="521"/>
      <c r="F57" s="527">
        <f>'BW3-Variable Input'!$C$33</f>
        <v>31.793452380952385</v>
      </c>
      <c r="G57" s="485"/>
      <c r="H57" s="485"/>
      <c r="I57" s="113"/>
      <c r="J57" s="113"/>
      <c r="K57" s="113"/>
      <c r="L57" s="113"/>
      <c r="M57" s="109"/>
    </row>
    <row r="58" spans="2:13" s="453" customFormat="1" ht="17" customHeight="1">
      <c r="B58" s="824" t="s">
        <v>508</v>
      </c>
      <c r="C58" s="444">
        <f>SUM(C53:C57)</f>
        <v>67.279709999999994</v>
      </c>
      <c r="D58" s="444">
        <f>SUM(D53:D57)</f>
        <v>18.626988205255401</v>
      </c>
      <c r="E58" s="444">
        <f>SUM(E53:E57)</f>
        <v>24.54418041227121</v>
      </c>
      <c r="F58" s="444">
        <f>SUM(F53:F57)</f>
        <v>31.793452380952385</v>
      </c>
      <c r="G58" s="447" t="s">
        <v>4</v>
      </c>
      <c r="H58" s="446">
        <f>SUM(C58:F58)</f>
        <v>142.24433099847897</v>
      </c>
      <c r="I58" s="478"/>
      <c r="J58" s="478"/>
      <c r="K58" s="478"/>
      <c r="L58" s="478"/>
      <c r="M58" s="475"/>
    </row>
    <row r="59" spans="2:13" s="120" customFormat="1" ht="17" customHeight="1">
      <c r="B59" s="593"/>
      <c r="C59" s="133"/>
      <c r="D59" s="133"/>
      <c r="E59" s="133"/>
      <c r="F59" s="133"/>
      <c r="G59" s="463"/>
      <c r="H59" s="463"/>
      <c r="I59" s="113"/>
      <c r="J59" s="113"/>
      <c r="K59" s="113"/>
      <c r="L59" s="113"/>
    </row>
    <row r="60" spans="2:13" s="453" customFormat="1" ht="17" customHeight="1">
      <c r="B60" s="116" t="s">
        <v>515</v>
      </c>
      <c r="C60" s="444">
        <f>C42+C49+C58</f>
        <v>2155.8888446713599</v>
      </c>
      <c r="D60" s="444">
        <f>D42+D49+D58</f>
        <v>167.16513938753684</v>
      </c>
      <c r="E60" s="444">
        <f>E42+E49+E58</f>
        <v>402.69891819447804</v>
      </c>
      <c r="F60" s="444">
        <f>F42+F49+F58</f>
        <v>850.41077435911245</v>
      </c>
      <c r="G60" s="447" t="s">
        <v>4</v>
      </c>
      <c r="H60" s="446">
        <f>SUM(C60:F60)</f>
        <v>3576.1636766124875</v>
      </c>
      <c r="I60" s="478"/>
      <c r="J60" s="478"/>
      <c r="K60" s="478"/>
      <c r="L60" s="478"/>
      <c r="M60" s="475"/>
    </row>
    <row r="61" spans="2:13" ht="17" customHeight="1">
      <c r="B61" s="114"/>
      <c r="C61" s="133"/>
      <c r="D61" s="133"/>
      <c r="E61" s="133"/>
      <c r="F61" s="133"/>
      <c r="G61" s="463"/>
      <c r="H61" s="463"/>
      <c r="I61" s="113"/>
      <c r="J61" s="113"/>
      <c r="K61" s="113"/>
      <c r="L61" s="113"/>
      <c r="M61" s="109"/>
    </row>
    <row r="62" spans="2:13">
      <c r="B62" s="1032"/>
      <c r="C62" s="1033"/>
      <c r="D62" s="1033"/>
      <c r="E62" s="1033"/>
      <c r="F62" s="1033"/>
      <c r="G62" s="1033"/>
      <c r="H62" s="1033"/>
    </row>
    <row r="63" spans="2:13">
      <c r="B63" s="916"/>
      <c r="C63" s="916"/>
      <c r="D63" s="916"/>
      <c r="E63" s="916"/>
      <c r="F63" s="916"/>
      <c r="G63" s="916"/>
      <c r="H63" s="916"/>
    </row>
    <row r="64" spans="2:13">
      <c r="B64" s="116" t="s">
        <v>664</v>
      </c>
      <c r="C64" s="916"/>
      <c r="D64" s="916"/>
      <c r="E64" s="916"/>
      <c r="F64" s="916"/>
      <c r="G64" s="916"/>
      <c r="H64" s="916"/>
    </row>
    <row r="65" spans="2:12">
      <c r="B65" s="985" t="s">
        <v>668</v>
      </c>
      <c r="C65" s="916"/>
      <c r="D65" s="916"/>
      <c r="E65" s="916"/>
      <c r="F65" s="916"/>
      <c r="G65" s="916"/>
      <c r="H65" s="986">
        <f>C42+C58</f>
        <v>1298.4023446713604</v>
      </c>
    </row>
    <row r="66" spans="2:12">
      <c r="B66" s="135" t="s">
        <v>667</v>
      </c>
      <c r="C66" s="916"/>
      <c r="D66" s="916"/>
      <c r="E66" s="916"/>
      <c r="F66" s="916"/>
      <c r="G66" s="916"/>
      <c r="H66" s="986">
        <f>D42+D58</f>
        <v>167.03229075241208</v>
      </c>
    </row>
    <row r="67" spans="2:12" ht="17" customHeight="1">
      <c r="B67" s="985" t="s">
        <v>669</v>
      </c>
      <c r="C67" s="469"/>
      <c r="D67" s="133"/>
      <c r="E67" s="444"/>
      <c r="F67" s="464"/>
      <c r="G67" s="442"/>
      <c r="H67" s="463">
        <f>F42+F58</f>
        <v>759.11347706181516</v>
      </c>
      <c r="I67" s="113"/>
      <c r="J67" s="113"/>
      <c r="K67" s="113"/>
      <c r="L67" s="109"/>
    </row>
    <row r="68" spans="2:12" ht="17" customHeight="1">
      <c r="B68" s="831" t="s">
        <v>666</v>
      </c>
      <c r="C68" s="469"/>
      <c r="D68" s="469"/>
      <c r="E68" s="592"/>
      <c r="F68" s="464"/>
      <c r="G68" s="442"/>
      <c r="H68" s="848">
        <f>SUM(H65:H67)</f>
        <v>2224.5481124855878</v>
      </c>
      <c r="I68" s="113"/>
      <c r="J68" s="113"/>
      <c r="K68" s="113"/>
      <c r="L68" s="109"/>
    </row>
    <row r="69" spans="2:12" ht="17" customHeight="1">
      <c r="B69" s="985" t="s">
        <v>680</v>
      </c>
      <c r="C69" s="469"/>
      <c r="D69" s="469"/>
      <c r="E69" s="469"/>
      <c r="F69" s="132"/>
      <c r="G69" s="442"/>
      <c r="H69" s="463">
        <f>C49</f>
        <v>857.48649999999998</v>
      </c>
      <c r="I69" s="113"/>
      <c r="J69" s="113"/>
      <c r="K69" s="113"/>
      <c r="L69" s="109"/>
    </row>
    <row r="70" spans="2:12" ht="17" customHeight="1">
      <c r="B70" s="985" t="s">
        <v>445</v>
      </c>
      <c r="C70" s="469"/>
      <c r="D70" s="469"/>
      <c r="E70" s="469"/>
      <c r="F70" s="132"/>
      <c r="G70" s="442"/>
      <c r="H70" s="463">
        <f>D49</f>
        <v>0.13284863512476036</v>
      </c>
      <c r="I70" s="113"/>
      <c r="J70" s="113"/>
      <c r="K70" s="113"/>
      <c r="L70" s="109"/>
    </row>
    <row r="71" spans="2:12" ht="17" customHeight="1">
      <c r="B71" s="985" t="s">
        <v>670</v>
      </c>
      <c r="C71" s="469"/>
      <c r="D71" s="444"/>
      <c r="E71" s="469"/>
      <c r="F71" s="132"/>
      <c r="G71" s="132"/>
      <c r="H71" s="463">
        <f>F49</f>
        <v>91.297297297297291</v>
      </c>
      <c r="I71" s="113"/>
      <c r="J71" s="113"/>
      <c r="K71" s="113"/>
      <c r="L71" s="109"/>
    </row>
    <row r="72" spans="2:12" ht="17" customHeight="1">
      <c r="B72" s="831" t="s">
        <v>671</v>
      </c>
      <c r="C72" s="43"/>
      <c r="D72" s="43"/>
      <c r="E72" s="832"/>
      <c r="F72" s="43"/>
      <c r="G72" s="43"/>
      <c r="H72" s="598">
        <f>SUM(H69:H71)</f>
        <v>948.91664593242206</v>
      </c>
      <c r="I72" s="113"/>
      <c r="J72" s="113"/>
      <c r="K72" s="113"/>
      <c r="L72" s="109"/>
    </row>
    <row r="73" spans="2:12" ht="17" customHeight="1">
      <c r="B73" s="833" t="s">
        <v>513</v>
      </c>
      <c r="C73" s="919"/>
      <c r="D73" s="919"/>
      <c r="E73" s="987"/>
      <c r="F73" s="988"/>
      <c r="G73" s="919"/>
      <c r="H73" s="818">
        <f>H68+H72</f>
        <v>3173.4647584180098</v>
      </c>
      <c r="I73" s="113"/>
      <c r="J73" s="113"/>
      <c r="K73" s="113"/>
      <c r="L73" s="109"/>
    </row>
    <row r="74" spans="2:12" ht="17" customHeight="1">
      <c r="B74" s="985" t="s">
        <v>672</v>
      </c>
      <c r="C74" s="135"/>
      <c r="D74" s="135"/>
      <c r="E74" s="472"/>
      <c r="F74" s="135"/>
      <c r="G74" s="135"/>
      <c r="H74" s="989">
        <f>E42+E58</f>
        <v>401.96383296720529</v>
      </c>
      <c r="I74" s="113"/>
      <c r="J74" s="113"/>
      <c r="K74" s="113"/>
      <c r="L74" s="109"/>
    </row>
    <row r="75" spans="2:12" ht="17" customHeight="1">
      <c r="B75" s="985" t="s">
        <v>673</v>
      </c>
      <c r="C75" s="135"/>
      <c r="D75" s="135"/>
      <c r="E75" s="472"/>
      <c r="F75" s="135"/>
      <c r="G75" s="135"/>
      <c r="H75" s="990">
        <f>E49</f>
        <v>0.73508522727272718</v>
      </c>
      <c r="I75" s="113"/>
      <c r="J75" s="113"/>
      <c r="K75" s="113"/>
      <c r="L75" s="109"/>
    </row>
    <row r="76" spans="2:12" ht="17" customHeight="1">
      <c r="B76" s="837" t="s">
        <v>514</v>
      </c>
      <c r="C76" s="919"/>
      <c r="D76" s="919"/>
      <c r="E76" s="987"/>
      <c r="F76" s="988"/>
      <c r="G76" s="919"/>
      <c r="H76" s="819">
        <f>H74+H75</f>
        <v>402.69891819447804</v>
      </c>
      <c r="I76" s="113"/>
      <c r="J76" s="113"/>
      <c r="K76" s="113"/>
      <c r="L76" s="109"/>
    </row>
    <row r="77" spans="2:12" ht="17" customHeight="1">
      <c r="B77" s="264"/>
      <c r="C77" s="469"/>
      <c r="D77" s="242"/>
      <c r="E77" s="469"/>
      <c r="F77" s="132"/>
      <c r="G77" s="132"/>
      <c r="H77" s="442"/>
      <c r="I77" s="113"/>
      <c r="J77" s="113"/>
      <c r="K77" s="113"/>
      <c r="L77" s="109"/>
    </row>
    <row r="78" spans="2:12" ht="17" customHeight="1">
      <c r="B78" s="132"/>
      <c r="C78" s="469"/>
      <c r="D78" s="469"/>
      <c r="E78" s="469"/>
      <c r="F78" s="132"/>
      <c r="G78" s="442"/>
      <c r="H78" s="442"/>
      <c r="I78" s="111"/>
      <c r="J78" s="111"/>
      <c r="K78" s="111"/>
      <c r="L78" s="109"/>
    </row>
    <row r="79" spans="2:12" ht="17" customHeight="1">
      <c r="B79" s="132"/>
      <c r="C79" s="132"/>
      <c r="D79" s="132"/>
      <c r="E79" s="132"/>
      <c r="F79" s="132"/>
      <c r="G79" s="442"/>
      <c r="H79" s="442"/>
      <c r="I79" s="111"/>
      <c r="J79" s="111"/>
      <c r="K79" s="111"/>
      <c r="L79" s="109"/>
    </row>
    <row r="80" spans="2:12" ht="17" customHeight="1">
      <c r="B80" s="132"/>
      <c r="C80" s="133"/>
      <c r="D80" s="133"/>
      <c r="E80" s="133"/>
      <c r="F80" s="133"/>
      <c r="H80" s="243"/>
      <c r="I80" s="109"/>
      <c r="J80" s="109"/>
      <c r="K80" s="109"/>
      <c r="L80" s="109"/>
    </row>
    <row r="81" spans="2:13" ht="17" customHeight="1">
      <c r="B81" s="110"/>
      <c r="C81" s="109"/>
      <c r="D81" s="110"/>
      <c r="E81" s="110"/>
      <c r="F81" s="110"/>
      <c r="G81" s="110"/>
      <c r="H81" s="109"/>
      <c r="I81" s="109"/>
      <c r="J81" s="109"/>
      <c r="K81" s="109"/>
      <c r="L81" s="109"/>
      <c r="M81" s="109"/>
    </row>
  </sheetData>
  <sheetProtection sheet="1" objects="1" scenarios="1"/>
  <mergeCells count="3">
    <mergeCell ref="E5:H6"/>
    <mergeCell ref="G1:H1"/>
    <mergeCell ref="G11:H14"/>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I102"/>
  <sheetViews>
    <sheetView showGridLines="0" topLeftCell="B1" workbookViewId="0">
      <selection activeCell="N6" sqref="N6"/>
    </sheetView>
  </sheetViews>
  <sheetFormatPr baseColWidth="10" defaultRowHeight="15" x14ac:dyDescent="0"/>
  <cols>
    <col min="1" max="1" width="2.85546875" style="573" customWidth="1"/>
    <col min="2" max="2" width="20.42578125" style="574" customWidth="1"/>
    <col min="3" max="3" width="12" style="573" customWidth="1"/>
    <col min="4" max="4" width="10.7109375" style="587"/>
    <col min="5" max="5" width="20.42578125" style="574" customWidth="1"/>
    <col min="6" max="6" width="12.28515625" style="573" customWidth="1"/>
    <col min="7" max="7" width="12" style="573" customWidth="1"/>
    <col min="9" max="9" width="20.42578125" style="573" customWidth="1"/>
    <col min="10" max="10" width="12.28515625" style="573" customWidth="1"/>
    <col min="11" max="11" width="12" style="573" customWidth="1"/>
    <col min="12" max="17" width="10.7109375" style="573"/>
    <col min="18" max="18" width="10.85546875" style="573" customWidth="1"/>
    <col min="19" max="23" width="10.7109375" style="573"/>
    <col min="24" max="24" width="10.85546875" style="573" customWidth="1"/>
    <col min="25" max="32" width="10.7109375" style="573"/>
    <col min="33" max="33" width="10.85546875" style="573" customWidth="1"/>
    <col min="34" max="16384" width="10.7109375" style="573"/>
  </cols>
  <sheetData>
    <row r="1" spans="2:11" ht="16" thickBot="1"/>
    <row r="2" spans="2:11" ht="19" thickBot="1">
      <c r="B2" s="856" t="s">
        <v>719</v>
      </c>
      <c r="E2" s="856"/>
      <c r="G2" s="1263" t="s">
        <v>512</v>
      </c>
      <c r="H2" s="1264"/>
      <c r="I2" s="785"/>
    </row>
    <row r="5" spans="2:11" ht="40" customHeight="1">
      <c r="B5" s="1265" t="s">
        <v>754</v>
      </c>
      <c r="C5" s="1265"/>
      <c r="D5" s="1064"/>
      <c r="E5" s="1265" t="s">
        <v>747</v>
      </c>
      <c r="F5" s="1265"/>
      <c r="G5" s="1265"/>
      <c r="I5" s="1265" t="s">
        <v>750</v>
      </c>
      <c r="J5" s="1265"/>
      <c r="K5" s="1265"/>
    </row>
    <row r="6" spans="2:11" ht="61" customHeight="1" thickBot="1">
      <c r="B6" s="1129" t="s">
        <v>131</v>
      </c>
      <c r="C6" s="1130" t="s">
        <v>755</v>
      </c>
      <c r="E6" s="1129" t="s">
        <v>131</v>
      </c>
      <c r="F6" s="1130" t="s">
        <v>748</v>
      </c>
      <c r="G6" s="1130" t="s">
        <v>749</v>
      </c>
      <c r="I6" s="1129" t="s">
        <v>131</v>
      </c>
      <c r="J6" s="1130" t="s">
        <v>888</v>
      </c>
      <c r="K6" s="1130" t="s">
        <v>749</v>
      </c>
    </row>
    <row r="7" spans="2:11">
      <c r="B7" s="1141" t="s">
        <v>104</v>
      </c>
      <c r="C7" s="1142">
        <f t="shared" ref="C7:C36" si="0">F7/G7</f>
        <v>1.2401419293227656</v>
      </c>
      <c r="E7" s="1141" t="str">
        <f>'Workbook Index'!B26</f>
        <v>Beans, Green</v>
      </c>
      <c r="F7" s="1143">
        <f>'Detailed Summary of Crop Costs'!$D$62</f>
        <v>3698.3321825197468</v>
      </c>
      <c r="G7" s="1144">
        <f>'BW7-Yield'!D9</f>
        <v>2982.1846153846154</v>
      </c>
      <c r="H7" s="81"/>
      <c r="I7" s="1141" t="s">
        <v>104</v>
      </c>
      <c r="J7" s="1143">
        <f t="shared" ref="J7:J36" si="1">F7*3</f>
        <v>11094.99654755924</v>
      </c>
      <c r="K7" s="1145">
        <f t="shared" ref="K7:K36" si="2">G7*3</f>
        <v>8946.5538461538454</v>
      </c>
    </row>
    <row r="8" spans="2:11">
      <c r="B8" s="1127" t="s">
        <v>105</v>
      </c>
      <c r="C8" s="1128">
        <f t="shared" si="0"/>
        <v>0.4035296934460898</v>
      </c>
      <c r="E8" s="1127" t="str">
        <f>'Workbook Index'!B27</f>
        <v>Beets</v>
      </c>
      <c r="F8" s="1133">
        <f>'Detailed Summary of Crop Costs'!E$62</f>
        <v>3127.9386902254105</v>
      </c>
      <c r="G8" s="1134">
        <f>'BW7-Yield'!D10</f>
        <v>7751.4461538461546</v>
      </c>
      <c r="H8" s="81"/>
      <c r="I8" s="1127" t="s">
        <v>105</v>
      </c>
      <c r="J8" s="1133">
        <f t="shared" si="1"/>
        <v>9383.8160706762319</v>
      </c>
      <c r="K8" s="1137">
        <f t="shared" si="2"/>
        <v>23254.338461538464</v>
      </c>
    </row>
    <row r="9" spans="2:11">
      <c r="B9" s="1141" t="s">
        <v>6</v>
      </c>
      <c r="C9" s="1142">
        <f t="shared" si="0"/>
        <v>0.79832513414870776</v>
      </c>
      <c r="E9" s="1141" t="str">
        <f>'Workbook Index'!B28</f>
        <v>Broccoli</v>
      </c>
      <c r="F9" s="1143">
        <f>'Detailed Summary of Crop Costs'!F$62</f>
        <v>3210.0039547862502</v>
      </c>
      <c r="G9" s="1144">
        <f>'BW7-Yield'!D11</f>
        <v>4020.9230769230771</v>
      </c>
      <c r="H9" s="81"/>
      <c r="I9" s="1141" t="s">
        <v>6</v>
      </c>
      <c r="J9" s="1143">
        <f t="shared" si="1"/>
        <v>9630.0118643587502</v>
      </c>
      <c r="K9" s="1145">
        <f t="shared" si="2"/>
        <v>12062.76923076923</v>
      </c>
    </row>
    <row r="10" spans="2:11">
      <c r="B10" s="1127" t="s">
        <v>106</v>
      </c>
      <c r="C10" s="1128">
        <f t="shared" si="0"/>
        <v>1.3751376018447317</v>
      </c>
      <c r="E10" s="1127" t="str">
        <f>'Workbook Index'!B29</f>
        <v>Brussels Sprouts</v>
      </c>
      <c r="F10" s="1133">
        <f>'Detailed Summary of Crop Costs'!G$62</f>
        <v>4607.7687643351155</v>
      </c>
      <c r="G10" s="1134">
        <f>'BW7-Yield'!D12</f>
        <v>3350.7692307692305</v>
      </c>
      <c r="H10" s="81"/>
      <c r="I10" s="1127" t="s">
        <v>106</v>
      </c>
      <c r="J10" s="1133">
        <f t="shared" si="1"/>
        <v>13823.306293005346</v>
      </c>
      <c r="K10" s="1137">
        <f t="shared" si="2"/>
        <v>10052.307692307691</v>
      </c>
    </row>
    <row r="11" spans="2:11">
      <c r="B11" s="1141" t="s">
        <v>7</v>
      </c>
      <c r="C11" s="1142">
        <f t="shared" si="0"/>
        <v>0.35106265100171213</v>
      </c>
      <c r="E11" s="1141" t="str">
        <f>'Workbook Index'!B30</f>
        <v>Cabbage</v>
      </c>
      <c r="F11" s="1143">
        <f>'Detailed Summary of Crop Costs'!H$62</f>
        <v>3552.5163857274183</v>
      </c>
      <c r="G11" s="1144">
        <f>'BW7-Yield'!D13</f>
        <v>10119.323076923078</v>
      </c>
      <c r="H11" s="81"/>
      <c r="I11" s="1141" t="s">
        <v>7</v>
      </c>
      <c r="J11" s="1143">
        <f t="shared" si="1"/>
        <v>10657.549157182255</v>
      </c>
      <c r="K11" s="1145">
        <f t="shared" si="2"/>
        <v>30357.969230769231</v>
      </c>
    </row>
    <row r="12" spans="2:11">
      <c r="B12" s="1127" t="s">
        <v>107</v>
      </c>
      <c r="C12" s="1128">
        <f t="shared" si="0"/>
        <v>0.91009352352545869</v>
      </c>
      <c r="E12" s="1127" t="str">
        <f>'Workbook Index'!B31</f>
        <v>Carrots</v>
      </c>
      <c r="F12" s="1133">
        <f>'Detailed Summary of Crop Costs'!I$62</f>
        <v>3964.3673884768982</v>
      </c>
      <c r="G12" s="1134">
        <f>'BW7-Yield'!D14</f>
        <v>4356</v>
      </c>
      <c r="H12" s="81"/>
      <c r="I12" s="1127" t="s">
        <v>107</v>
      </c>
      <c r="J12" s="1133">
        <f t="shared" si="1"/>
        <v>11893.102165430695</v>
      </c>
      <c r="K12" s="1137">
        <f t="shared" si="2"/>
        <v>13068</v>
      </c>
    </row>
    <row r="13" spans="2:11">
      <c r="B13" s="1141" t="s">
        <v>108</v>
      </c>
      <c r="C13" s="1142">
        <f t="shared" si="0"/>
        <v>0.89801287742633906</v>
      </c>
      <c r="E13" s="1141" t="str">
        <f>'Workbook Index'!B32</f>
        <v>Cauliflower</v>
      </c>
      <c r="F13" s="1143">
        <f>'Detailed Summary of Crop Costs'!J$62</f>
        <v>3410.2384409833476</v>
      </c>
      <c r="G13" s="1144">
        <f>'BW7-Yield'!D15</f>
        <v>3797.5384615384623</v>
      </c>
      <c r="H13" s="81"/>
      <c r="I13" s="1141" t="s">
        <v>108</v>
      </c>
      <c r="J13" s="1143">
        <f t="shared" si="1"/>
        <v>10230.715322950044</v>
      </c>
      <c r="K13" s="1145">
        <f t="shared" si="2"/>
        <v>11392.615384615387</v>
      </c>
    </row>
    <row r="14" spans="2:11">
      <c r="B14" s="1127" t="s">
        <v>109</v>
      </c>
      <c r="C14" s="1128">
        <f t="shared" si="0"/>
        <v>0.68196414083503265</v>
      </c>
      <c r="E14" s="1127" t="str">
        <f>'Workbook Index'!B33</f>
        <v>Chard, Swiss</v>
      </c>
      <c r="F14" s="1133">
        <f>'Detailed Summary of Crop Costs'!K$62</f>
        <v>5149.1020489608309</v>
      </c>
      <c r="G14" s="1134">
        <f>'BW7-Yield'!D16</f>
        <v>7550.4000000000005</v>
      </c>
      <c r="H14" s="81"/>
      <c r="I14" s="1127" t="s">
        <v>109</v>
      </c>
      <c r="J14" s="1133">
        <f t="shared" si="1"/>
        <v>15447.306146882493</v>
      </c>
      <c r="K14" s="1137">
        <f t="shared" si="2"/>
        <v>22651.200000000001</v>
      </c>
    </row>
    <row r="15" spans="2:11">
      <c r="B15" s="1141" t="s">
        <v>110</v>
      </c>
      <c r="C15" s="1142">
        <f t="shared" si="0"/>
        <v>0.62386656700779453</v>
      </c>
      <c r="E15" s="1141" t="str">
        <f>'Workbook Index'!B34</f>
        <v>Corn, Sweet</v>
      </c>
      <c r="F15" s="1143">
        <f>'Detailed Summary of Crop Costs'!L$62</f>
        <v>2118.3053354598201</v>
      </c>
      <c r="G15" s="1144">
        <f>'BW7-Yield'!D17</f>
        <v>3395.4461538461542</v>
      </c>
      <c r="H15" s="81"/>
      <c r="I15" s="1141" t="s">
        <v>110</v>
      </c>
      <c r="J15" s="1143">
        <f t="shared" si="1"/>
        <v>6354.9160063794607</v>
      </c>
      <c r="K15" s="1145">
        <f t="shared" si="2"/>
        <v>10186.338461538462</v>
      </c>
    </row>
    <row r="16" spans="2:11">
      <c r="B16" s="1127" t="s">
        <v>385</v>
      </c>
      <c r="C16" s="1128">
        <f t="shared" si="0"/>
        <v>0.7726808692142848</v>
      </c>
      <c r="E16" s="1127" t="str">
        <f>'Workbook Index'!B35</f>
        <v>Cucumbers</v>
      </c>
      <c r="F16" s="1133">
        <f>'Detailed Summary of Crop Costs'!M$62</f>
        <v>6678.1703696377463</v>
      </c>
      <c r="G16" s="1134">
        <f>'BW7-Yield'!D18</f>
        <v>8642.8571428571413</v>
      </c>
      <c r="H16" s="81"/>
      <c r="I16" s="1127" t="s">
        <v>385</v>
      </c>
      <c r="J16" s="1133">
        <f t="shared" si="1"/>
        <v>20034.511108913241</v>
      </c>
      <c r="K16" s="1137">
        <f t="shared" si="2"/>
        <v>25928.571428571424</v>
      </c>
    </row>
    <row r="17" spans="2:11">
      <c r="B17" s="1141" t="s">
        <v>112</v>
      </c>
      <c r="C17" s="1142">
        <f t="shared" si="0"/>
        <v>0.7854688145545109</v>
      </c>
      <c r="E17" s="1141" t="str">
        <f>'Workbook Index'!B36</f>
        <v>Eggplant</v>
      </c>
      <c r="F17" s="1143">
        <f>'Detailed Summary of Crop Costs'!N$62</f>
        <v>6580.5081152301573</v>
      </c>
      <c r="G17" s="1144">
        <f>'BW7-Yield'!D19</f>
        <v>8377.8095238095229</v>
      </c>
      <c r="H17" s="81"/>
      <c r="I17" s="1141" t="s">
        <v>112</v>
      </c>
      <c r="J17" s="1143">
        <f t="shared" si="1"/>
        <v>19741.524345690472</v>
      </c>
      <c r="K17" s="1145">
        <f t="shared" si="2"/>
        <v>25133.428571428569</v>
      </c>
    </row>
    <row r="18" spans="2:11">
      <c r="B18" s="1127" t="s">
        <v>70</v>
      </c>
      <c r="C18" s="1128">
        <f t="shared" si="0"/>
        <v>4.9813294131863302</v>
      </c>
      <c r="E18" s="1127" t="str">
        <f>'Workbook Index'!B37</f>
        <v>Garlic</v>
      </c>
      <c r="F18" s="1133">
        <f>'Detailed Summary of Crop Costs'!O$62</f>
        <v>4804.7057045644942</v>
      </c>
      <c r="G18" s="1134">
        <f>'BW7-Yield'!D20</f>
        <v>964.54285714285709</v>
      </c>
      <c r="H18" s="81"/>
      <c r="I18" s="1127" t="s">
        <v>70</v>
      </c>
      <c r="J18" s="1133">
        <f t="shared" si="1"/>
        <v>14414.117113693483</v>
      </c>
      <c r="K18" s="1137">
        <f t="shared" si="2"/>
        <v>2893.6285714285714</v>
      </c>
    </row>
    <row r="19" spans="2:11">
      <c r="B19" s="1141" t="s">
        <v>123</v>
      </c>
      <c r="C19" s="1142">
        <f t="shared" si="0"/>
        <v>1.2058843172927234</v>
      </c>
      <c r="E19" s="1141" t="str">
        <f>'Workbook Index'!B38</f>
        <v>Greens, Kale/Collards</v>
      </c>
      <c r="F19" s="1143">
        <f>'Detailed Summary of Crop Costs'!P$62</f>
        <v>6114.8353002607819</v>
      </c>
      <c r="G19" s="1144">
        <f>'BW7-Yield'!D21</f>
        <v>5070.8307692307699</v>
      </c>
      <c r="H19" s="81"/>
      <c r="I19" s="1141" t="s">
        <v>123</v>
      </c>
      <c r="J19" s="1143">
        <f t="shared" si="1"/>
        <v>18344.505900782344</v>
      </c>
      <c r="K19" s="1145">
        <f t="shared" si="2"/>
        <v>15212.49230769231</v>
      </c>
    </row>
    <row r="20" spans="2:11">
      <c r="B20" s="1127" t="s">
        <v>289</v>
      </c>
      <c r="C20" s="1128">
        <f t="shared" si="0"/>
        <v>1.76027562339627</v>
      </c>
      <c r="E20" s="1127" t="str">
        <f>'Workbook Index'!B39</f>
        <v>Greens, Salad</v>
      </c>
      <c r="F20" s="1133">
        <f>'Detailed Summary of Crop Costs'!Q$62</f>
        <v>5151.1622596530979</v>
      </c>
      <c r="G20" s="1134">
        <f>'BW7-Yield'!D22</f>
        <v>2926.3384615384621</v>
      </c>
      <c r="H20" s="81"/>
      <c r="I20" s="1127" t="s">
        <v>289</v>
      </c>
      <c r="J20" s="1133">
        <f t="shared" si="1"/>
        <v>15453.486778959294</v>
      </c>
      <c r="K20" s="1137">
        <f t="shared" si="2"/>
        <v>8779.0153846153862</v>
      </c>
    </row>
    <row r="21" spans="2:11">
      <c r="B21" s="1141" t="s">
        <v>122</v>
      </c>
      <c r="C21" s="1142">
        <f t="shared" si="0"/>
        <v>0.7018617373260897</v>
      </c>
      <c r="E21" s="1141" t="str">
        <f>'Workbook Index'!B40</f>
        <v>Herbs, Summer Annual</v>
      </c>
      <c r="F21" s="1143">
        <f>'Detailed Summary of Crop Costs'!R$62</f>
        <v>3257.2107484557991</v>
      </c>
      <c r="G21" s="1144">
        <f>'BW7-Yield'!D23</f>
        <v>4640.8153846153846</v>
      </c>
      <c r="H21" s="81"/>
      <c r="I21" s="1141" t="s">
        <v>122</v>
      </c>
      <c r="J21" s="1143">
        <f t="shared" si="1"/>
        <v>9771.6322453673965</v>
      </c>
      <c r="K21" s="1145">
        <f t="shared" si="2"/>
        <v>13922.446153846155</v>
      </c>
    </row>
    <row r="22" spans="2:11">
      <c r="B22" s="1127" t="s">
        <v>113</v>
      </c>
      <c r="C22" s="1128">
        <f t="shared" si="0"/>
        <v>0.61923956776727496</v>
      </c>
      <c r="E22" s="1127" t="str">
        <f>'Workbook Index'!B41</f>
        <v>Kohlrabi</v>
      </c>
      <c r="F22" s="1133">
        <f>'Detailed Summary of Crop Costs'!S$62</f>
        <v>3527.3791132540186</v>
      </c>
      <c r="G22" s="1134">
        <f>'BW7-Yield'!D24</f>
        <v>5696.3076923076924</v>
      </c>
      <c r="H22" s="81"/>
      <c r="I22" s="1127" t="s">
        <v>113</v>
      </c>
      <c r="J22" s="1133">
        <f t="shared" si="1"/>
        <v>10582.137339762055</v>
      </c>
      <c r="K22" s="1137">
        <f t="shared" si="2"/>
        <v>17088.923076923078</v>
      </c>
    </row>
    <row r="23" spans="2:11">
      <c r="B23" s="1141" t="s">
        <v>386</v>
      </c>
      <c r="C23" s="1142">
        <f t="shared" si="0"/>
        <v>3.0211509323674171</v>
      </c>
      <c r="E23" s="1141" t="str">
        <f>'Workbook Index'!B42</f>
        <v>Leeks</v>
      </c>
      <c r="F23" s="1143">
        <f>'Detailed Summary of Crop Costs'!T$62</f>
        <v>6208.8834792210619</v>
      </c>
      <c r="G23" s="1144">
        <f>'BW7-Yield'!D25</f>
        <v>2055.1384615384613</v>
      </c>
      <c r="H23" s="81"/>
      <c r="I23" s="1141" t="s">
        <v>386</v>
      </c>
      <c r="J23" s="1143">
        <f t="shared" si="1"/>
        <v>18626.650437663186</v>
      </c>
      <c r="K23" s="1145">
        <f t="shared" si="2"/>
        <v>6165.415384615384</v>
      </c>
    </row>
    <row r="24" spans="2:11">
      <c r="B24" s="1127" t="s">
        <v>387</v>
      </c>
      <c r="C24" s="1128">
        <f t="shared" si="0"/>
        <v>0.40631972525172988</v>
      </c>
      <c r="E24" s="1127" t="str">
        <f>'Workbook Index'!B43</f>
        <v>Lettuce, Head</v>
      </c>
      <c r="F24" s="1133">
        <f>'Detailed Summary of Crop Costs'!U$62</f>
        <v>3576.1636766124875</v>
      </c>
      <c r="G24" s="1134">
        <f>'BW7-Yield'!D26</f>
        <v>8801.3538461538483</v>
      </c>
      <c r="H24" s="81"/>
      <c r="I24" s="1127" t="s">
        <v>387</v>
      </c>
      <c r="J24" s="1133">
        <f t="shared" si="1"/>
        <v>10728.491029837463</v>
      </c>
      <c r="K24" s="1137">
        <f t="shared" si="2"/>
        <v>26404.061538461545</v>
      </c>
    </row>
    <row r="25" spans="2:11">
      <c r="B25" s="1141" t="s">
        <v>282</v>
      </c>
      <c r="C25" s="1142">
        <f t="shared" si="0"/>
        <v>0.86947902499114238</v>
      </c>
      <c r="E25" s="1141" t="str">
        <f>'Workbook Index'!B44</f>
        <v>Muskmelon (Cantaloupe)</v>
      </c>
      <c r="F25" s="1143">
        <f>'Detailed Summary of Crop Costs'!V$62</f>
        <v>4274.4085713721697</v>
      </c>
      <c r="G25" s="1144">
        <f>'BW7-Yield'!D27</f>
        <v>4916.0571428571429</v>
      </c>
      <c r="H25" s="81"/>
      <c r="I25" s="1141" t="s">
        <v>282</v>
      </c>
      <c r="J25" s="1143">
        <f t="shared" si="1"/>
        <v>12823.22571411651</v>
      </c>
      <c r="K25" s="1145">
        <f t="shared" si="2"/>
        <v>14748.17142857143</v>
      </c>
    </row>
    <row r="26" spans="2:11">
      <c r="B26" s="1127" t="s">
        <v>388</v>
      </c>
      <c r="C26" s="1128">
        <f t="shared" si="0"/>
        <v>0.71407350451330787</v>
      </c>
      <c r="E26" s="1127" t="str">
        <f>'Workbook Index'!B45</f>
        <v>Onions, Bulb</v>
      </c>
      <c r="F26" s="1133">
        <f>'Detailed Summary of Crop Costs'!W$62</f>
        <v>4785.3910548614913</v>
      </c>
      <c r="G26" s="1134">
        <f>'BW7-Yield'!D28</f>
        <v>6701.5384615384619</v>
      </c>
      <c r="H26" s="81"/>
      <c r="I26" s="1127" t="s">
        <v>388</v>
      </c>
      <c r="J26" s="1133">
        <f t="shared" si="1"/>
        <v>14356.173164584474</v>
      </c>
      <c r="K26" s="1137">
        <f t="shared" si="2"/>
        <v>20104.615384615387</v>
      </c>
    </row>
    <row r="27" spans="2:11">
      <c r="B27" s="1141" t="s">
        <v>118</v>
      </c>
      <c r="C27" s="1142">
        <f t="shared" si="0"/>
        <v>0.81291094785537399</v>
      </c>
      <c r="E27" s="1141" t="str">
        <f>'Workbook Index'!B46</f>
        <v>Peppers</v>
      </c>
      <c r="F27" s="1143">
        <f>'Detailed Summary of Crop Costs'!X$62</f>
        <v>6862.8729341200469</v>
      </c>
      <c r="G27" s="1144">
        <f>'BW7-Yield'!D29</f>
        <v>8442.3428571428576</v>
      </c>
      <c r="H27" s="81"/>
      <c r="I27" s="1141" t="s">
        <v>118</v>
      </c>
      <c r="J27" s="1143">
        <f t="shared" si="1"/>
        <v>20588.618802360143</v>
      </c>
      <c r="K27" s="1145">
        <f t="shared" si="2"/>
        <v>25327.028571428571</v>
      </c>
    </row>
    <row r="28" spans="2:11">
      <c r="B28" s="1127" t="s">
        <v>8</v>
      </c>
      <c r="C28" s="1128">
        <f t="shared" si="0"/>
        <v>1.3586731757790287</v>
      </c>
      <c r="E28" s="1127" t="str">
        <f>'Workbook Index'!B47</f>
        <v>Potatoes</v>
      </c>
      <c r="F28" s="1133">
        <f>'Detailed Summary of Crop Costs'!Y$62</f>
        <v>5479.9818089754162</v>
      </c>
      <c r="G28" s="1134">
        <f>'BW7-Yield'!D30</f>
        <v>4033.3333333333335</v>
      </c>
      <c r="H28" s="81"/>
      <c r="I28" s="1127" t="s">
        <v>8</v>
      </c>
      <c r="J28" s="1133">
        <f t="shared" si="1"/>
        <v>16439.94542692625</v>
      </c>
      <c r="K28" s="1137">
        <f t="shared" si="2"/>
        <v>12100</v>
      </c>
    </row>
    <row r="29" spans="2:11">
      <c r="B29" s="1141" t="s">
        <v>125</v>
      </c>
      <c r="C29" s="1142">
        <f t="shared" si="0"/>
        <v>0.50003933204079198</v>
      </c>
      <c r="E29" s="1141" t="str">
        <f>'Workbook Index'!B48</f>
        <v>Potatoes, Sweet</v>
      </c>
      <c r="F29" s="1143">
        <f>'Detailed Summary of Crop Costs'!Z$62</f>
        <v>3281.0866547949772</v>
      </c>
      <c r="G29" s="1144">
        <f>'BW7-Yield'!D31</f>
        <v>6561.6571428571433</v>
      </c>
      <c r="H29" s="81"/>
      <c r="I29" s="1141" t="s">
        <v>125</v>
      </c>
      <c r="J29" s="1143">
        <f t="shared" si="1"/>
        <v>9843.2599643849317</v>
      </c>
      <c r="K29" s="1145">
        <f t="shared" si="2"/>
        <v>19684.971428571429</v>
      </c>
    </row>
    <row r="30" spans="2:11">
      <c r="B30" s="1127" t="s">
        <v>124</v>
      </c>
      <c r="C30" s="1128">
        <f t="shared" si="0"/>
        <v>0.65117923483111517</v>
      </c>
      <c r="E30" s="1127" t="str">
        <f>'Workbook Index'!B49</f>
        <v>Roots, Radish/Turnip</v>
      </c>
      <c r="F30" s="1133">
        <f>'Detailed Summary of Crop Costs'!AA$62</f>
        <v>3200.1953042223299</v>
      </c>
      <c r="G30" s="1134">
        <f>'BW7-Yield'!D32</f>
        <v>4914.461538461539</v>
      </c>
      <c r="H30" s="81"/>
      <c r="I30" s="1127" t="s">
        <v>124</v>
      </c>
      <c r="J30" s="1133">
        <f t="shared" si="1"/>
        <v>9600.5859126669893</v>
      </c>
      <c r="K30" s="1137">
        <f t="shared" si="2"/>
        <v>14743.384615384617</v>
      </c>
    </row>
    <row r="31" spans="2:11">
      <c r="B31" s="1141" t="s">
        <v>204</v>
      </c>
      <c r="C31" s="1142">
        <f t="shared" si="0"/>
        <v>2.5297232283349098</v>
      </c>
      <c r="E31" s="1141" t="str">
        <f>'Workbook Index'!B50</f>
        <v>Scallions</v>
      </c>
      <c r="F31" s="1143">
        <f>'Detailed Summary of Crop Costs'!AB$62</f>
        <v>6187.8586917827788</v>
      </c>
      <c r="G31" s="1144">
        <f>'BW7-Yield'!D33</f>
        <v>2446.0615384615385</v>
      </c>
      <c r="H31" s="81"/>
      <c r="I31" s="1141" t="s">
        <v>204</v>
      </c>
      <c r="J31" s="1143">
        <f t="shared" si="1"/>
        <v>18563.576075348337</v>
      </c>
      <c r="K31" s="1145">
        <f t="shared" si="2"/>
        <v>7338.1846153846154</v>
      </c>
    </row>
    <row r="32" spans="2:11">
      <c r="B32" s="1127" t="s">
        <v>119</v>
      </c>
      <c r="C32" s="1128">
        <f t="shared" si="0"/>
        <v>0.76038242921418142</v>
      </c>
      <c r="E32" s="1127" t="str">
        <f>'Workbook Index'!B51</f>
        <v>Squash, Summer</v>
      </c>
      <c r="F32" s="1133">
        <f>'Detailed Summary of Crop Costs'!AC$62</f>
        <v>6269.5703809935585</v>
      </c>
      <c r="G32" s="1134">
        <f>'BW7-Yield'!D34</f>
        <v>8245.2857142857138</v>
      </c>
      <c r="H32" s="81"/>
      <c r="I32" s="1127" t="s">
        <v>119</v>
      </c>
      <c r="J32" s="1133">
        <f t="shared" si="1"/>
        <v>18808.711142980676</v>
      </c>
      <c r="K32" s="1137">
        <f t="shared" si="2"/>
        <v>24735.857142857141</v>
      </c>
    </row>
    <row r="33" spans="2:11">
      <c r="B33" s="1141" t="s">
        <v>120</v>
      </c>
      <c r="C33" s="1142">
        <f t="shared" si="0"/>
        <v>0.68581168293910788</v>
      </c>
      <c r="E33" s="1141" t="str">
        <f>'Workbook Index'!B52</f>
        <v>Squash, Winter</v>
      </c>
      <c r="F33" s="1143">
        <f>'Detailed Summary of Crop Costs'!AD$62</f>
        <v>4424.190761259697</v>
      </c>
      <c r="G33" s="1144">
        <f>'BW7-Yield'!D35</f>
        <v>6451.028571428571</v>
      </c>
      <c r="H33" s="81"/>
      <c r="I33" s="1141" t="s">
        <v>120</v>
      </c>
      <c r="J33" s="1143">
        <f t="shared" si="1"/>
        <v>13272.572283779091</v>
      </c>
      <c r="K33" s="1145">
        <f t="shared" si="2"/>
        <v>19353.085714285713</v>
      </c>
    </row>
    <row r="34" spans="2:11">
      <c r="B34" s="1127" t="s">
        <v>126</v>
      </c>
      <c r="C34" s="1128">
        <f t="shared" si="0"/>
        <v>0.66734047340074576</v>
      </c>
      <c r="E34" s="1127" t="str">
        <f>'Workbook Index'!B53</f>
        <v>Tomatoes</v>
      </c>
      <c r="F34" s="1133">
        <f>'Detailed Summary of Crop Costs'!AE$62</f>
        <v>7872.9492349452985</v>
      </c>
      <c r="G34" s="1134">
        <f>'BW7-Yield'!D36</f>
        <v>11797.5</v>
      </c>
      <c r="H34" s="81"/>
      <c r="I34" s="1127" t="s">
        <v>126</v>
      </c>
      <c r="J34" s="1133">
        <f t="shared" si="1"/>
        <v>23618.847704835895</v>
      </c>
      <c r="K34" s="1137">
        <f t="shared" si="2"/>
        <v>35392.5</v>
      </c>
    </row>
    <row r="35" spans="2:11">
      <c r="B35" s="1141" t="s">
        <v>121</v>
      </c>
      <c r="C35" s="1142">
        <f t="shared" si="0"/>
        <v>0.19236476223025312</v>
      </c>
      <c r="E35" s="1141" t="str">
        <f>'Workbook Index'!B54</f>
        <v>Watermelon</v>
      </c>
      <c r="F35" s="1143">
        <f>'Detailed Summary of Crop Costs'!AF$62</f>
        <v>2577.6658293411369</v>
      </c>
      <c r="G35" s="1144">
        <f>'BW7-Yield'!D37</f>
        <v>13399.885714285714</v>
      </c>
      <c r="H35" s="81"/>
      <c r="I35" s="1141" t="s">
        <v>121</v>
      </c>
      <c r="J35" s="1143">
        <f t="shared" si="1"/>
        <v>7732.9974880234113</v>
      </c>
      <c r="K35" s="1145">
        <f t="shared" si="2"/>
        <v>40199.657142857141</v>
      </c>
    </row>
    <row r="36" spans="2:11">
      <c r="B36" s="1131" t="s">
        <v>462</v>
      </c>
      <c r="C36" s="1132">
        <f t="shared" si="0"/>
        <v>0.50502614594510575</v>
      </c>
      <c r="E36" s="1131" t="str">
        <f>'Workbook Index'!B55</f>
        <v>You-Pick</v>
      </c>
      <c r="F36" s="1138">
        <f>'Detailed Summary of Crop Costs'!AG$62</f>
        <v>3012.4142249646989</v>
      </c>
      <c r="G36" s="1139">
        <f>'BW7-Yield'!D38</f>
        <v>5964.8678571428572</v>
      </c>
      <c r="H36" s="81"/>
      <c r="I36" s="1131" t="s">
        <v>462</v>
      </c>
      <c r="J36" s="1138">
        <f t="shared" si="1"/>
        <v>9037.2426748940961</v>
      </c>
      <c r="K36" s="1140">
        <f t="shared" si="2"/>
        <v>17894.603571428572</v>
      </c>
    </row>
    <row r="37" spans="2:11">
      <c r="B37" s="782" t="s">
        <v>48</v>
      </c>
      <c r="C37" s="786">
        <f>AVERAGE(C7:C36)</f>
        <v>1.0594449686996774</v>
      </c>
      <c r="E37" s="782" t="s">
        <v>48</v>
      </c>
      <c r="F37" s="1135">
        <f>AVERAGE(F7:F36)</f>
        <v>4565.539246999936</v>
      </c>
      <c r="G37" s="1136">
        <f>AVERAGE(G7:G36)</f>
        <v>5945.8014926739916</v>
      </c>
      <c r="H37" s="81"/>
      <c r="I37" s="782" t="s">
        <v>48</v>
      </c>
      <c r="J37" s="1135">
        <f>AVERAGE(J7:J36)</f>
        <v>13696.617740999809</v>
      </c>
      <c r="K37" s="1136">
        <f>AVERAGE(K7:K36)</f>
        <v>17837.404478021981</v>
      </c>
    </row>
    <row r="38" spans="2:11">
      <c r="B38" s="782"/>
      <c r="C38" s="786"/>
      <c r="E38" s="782"/>
      <c r="F38" s="786"/>
      <c r="G38" s="786"/>
      <c r="H38" s="81"/>
    </row>
    <row r="39" spans="2:11">
      <c r="B39" s="782"/>
      <c r="C39" s="786"/>
      <c r="E39" s="782"/>
      <c r="F39" s="786"/>
      <c r="G39" s="786"/>
    </row>
    <row r="101" spans="2:35" s="854" customFormat="1" ht="14">
      <c r="B101" s="853"/>
      <c r="C101" s="852"/>
      <c r="E101" s="853"/>
      <c r="F101" s="852"/>
      <c r="G101" s="852"/>
      <c r="I101" s="852"/>
      <c r="J101" s="852"/>
      <c r="K101" s="852"/>
      <c r="L101" s="852"/>
      <c r="M101" s="852"/>
      <c r="N101" s="852"/>
      <c r="O101" s="852"/>
      <c r="P101" s="852"/>
      <c r="Q101" s="852"/>
      <c r="R101" s="852"/>
      <c r="S101" s="852"/>
      <c r="T101" s="852"/>
      <c r="U101" s="852"/>
      <c r="V101" s="852"/>
      <c r="W101" s="852"/>
      <c r="X101" s="852"/>
      <c r="Y101" s="852"/>
      <c r="Z101" s="852"/>
      <c r="AA101" s="852"/>
      <c r="AB101" s="852"/>
      <c r="AC101" s="852"/>
      <c r="AD101" s="852"/>
      <c r="AE101" s="852"/>
      <c r="AF101" s="852"/>
      <c r="AG101" s="852"/>
      <c r="AH101" s="852"/>
      <c r="AI101" s="852"/>
    </row>
    <row r="102" spans="2:35" s="854" customFormat="1" ht="14">
      <c r="B102" s="855"/>
      <c r="C102" s="852"/>
      <c r="E102" s="855"/>
      <c r="F102" s="852"/>
      <c r="G102" s="852"/>
      <c r="I102" s="852"/>
      <c r="J102" s="852"/>
      <c r="K102" s="852"/>
      <c r="L102" s="852"/>
      <c r="M102" s="852"/>
      <c r="N102" s="852"/>
      <c r="O102" s="852"/>
      <c r="P102" s="852"/>
      <c r="Q102" s="852"/>
      <c r="R102" s="852"/>
      <c r="S102" s="852"/>
      <c r="T102" s="852"/>
      <c r="U102" s="852"/>
      <c r="V102" s="852"/>
      <c r="W102" s="852"/>
      <c r="X102" s="852"/>
      <c r="Y102" s="852"/>
      <c r="Z102" s="852"/>
      <c r="AA102" s="852"/>
      <c r="AB102" s="852"/>
      <c r="AC102" s="852"/>
      <c r="AD102" s="852"/>
      <c r="AE102" s="852"/>
      <c r="AF102" s="852"/>
      <c r="AG102" s="852"/>
      <c r="AH102" s="852"/>
      <c r="AI102" s="852"/>
    </row>
  </sheetData>
  <sheetProtection sheet="1" objects="1" scenarios="1"/>
  <mergeCells count="4">
    <mergeCell ref="G2:H2"/>
    <mergeCell ref="E5:G5"/>
    <mergeCell ref="I5:K5"/>
    <mergeCell ref="B5:C5"/>
  </mergeCells>
  <phoneticPr fontId="15" type="noConversion"/>
  <hyperlinks>
    <hyperlink ref="G2" location="'Workbook Index'!A1" display="Back to Workbook Index"/>
    <hyperlink ref="H2" location="'Workbook Index'!A1" display="'Workbook Index'!A1"/>
  </hyperlinks>
  <pageMargins left="0.75" right="0.75" top="1" bottom="1" header="0.5" footer="0.5"/>
  <pageSetup orientation="portrait" horizontalDpi="4294967292" verticalDpi="4294967292"/>
  <extLst>
    <ext xmlns:mx="http://schemas.microsoft.com/office/mac/excel/2008/main" uri="{64002731-A6B0-56B0-2670-7721B7C09600}">
      <mx:PLV Mode="0" OnePage="0" WScale="81"/>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83"/>
  <sheetViews>
    <sheetView showGridLines="0" view="pageLayout" topLeftCell="A30" workbookViewId="0">
      <selection activeCell="B46" sqref="B46"/>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16384" width="8.7109375" style="108"/>
  </cols>
  <sheetData>
    <row r="1" spans="2:17" ht="16" thickBot="1">
      <c r="F1" s="563"/>
      <c r="G1" s="1263" t="s">
        <v>512</v>
      </c>
      <c r="H1" s="1264"/>
    </row>
    <row r="2" spans="2:17" ht="25" customHeight="1">
      <c r="B2" s="1028" t="str">
        <f>'Workbook Index'!B44</f>
        <v>Muskmelon (Cantaloupe)</v>
      </c>
      <c r="C2" s="221"/>
      <c r="D2" s="221"/>
      <c r="E2" s="221"/>
    </row>
    <row r="3" spans="2:17" ht="34" customHeight="1">
      <c r="B3" s="1027" t="s">
        <v>716</v>
      </c>
      <c r="C3" s="132" t="s">
        <v>367</v>
      </c>
      <c r="E3" s="222" t="s">
        <v>14</v>
      </c>
      <c r="F3"/>
      <c r="G3"/>
      <c r="H3"/>
    </row>
    <row r="4" spans="2:17">
      <c r="B4" s="917"/>
      <c r="C4" s="132" t="s">
        <v>47</v>
      </c>
      <c r="D4" s="916"/>
      <c r="E4" s="1068">
        <f>'BW1-Bed and Row Spacing'!J26</f>
        <v>2074.2857142857142</v>
      </c>
      <c r="F4" s="135"/>
      <c r="G4" s="135"/>
      <c r="H4" s="135"/>
    </row>
    <row r="5" spans="2:17">
      <c r="B5" s="915"/>
      <c r="C5" s="132" t="s">
        <v>366</v>
      </c>
      <c r="D5" s="916"/>
      <c r="E5" s="1340" t="s">
        <v>818</v>
      </c>
      <c r="F5" s="1340"/>
      <c r="G5" s="1340"/>
      <c r="H5" s="1340"/>
    </row>
    <row r="6" spans="2:17" ht="14" customHeight="1">
      <c r="B6" s="223"/>
      <c r="C6" s="915"/>
      <c r="D6" s="916"/>
      <c r="E6" s="1340"/>
      <c r="F6" s="1340"/>
      <c r="G6" s="1340"/>
      <c r="H6" s="1340"/>
    </row>
    <row r="7" spans="2:17">
      <c r="B7" s="1032"/>
      <c r="C7" s="1033"/>
      <c r="D7" s="1033"/>
      <c r="E7" s="1033"/>
      <c r="F7" s="1033"/>
      <c r="G7" s="1033"/>
      <c r="H7" s="1033"/>
    </row>
    <row r="8" spans="2:17">
      <c r="B8" s="553" t="s">
        <v>517</v>
      </c>
      <c r="C8" s="492"/>
      <c r="D8" s="492"/>
      <c r="E8" s="492"/>
      <c r="F8" s="492"/>
      <c r="G8" s="492"/>
      <c r="H8" s="492"/>
    </row>
    <row r="9" spans="2:17" customFormat="1" ht="33" customHeight="1">
      <c r="B9" s="420" t="s">
        <v>711</v>
      </c>
      <c r="C9" s="421" t="s">
        <v>707</v>
      </c>
      <c r="D9" s="421" t="s">
        <v>708</v>
      </c>
      <c r="E9" s="421" t="s">
        <v>709</v>
      </c>
      <c r="F9" s="421" t="s">
        <v>710</v>
      </c>
      <c r="G9" s="919"/>
      <c r="H9" s="920"/>
      <c r="M9" s="112"/>
      <c r="N9" s="112"/>
      <c r="O9" s="112"/>
      <c r="P9" s="6"/>
      <c r="Q9" s="6"/>
    </row>
    <row r="10" spans="2:17" customFormat="1" ht="30">
      <c r="B10" s="993" t="s">
        <v>516</v>
      </c>
      <c r="C10" s="991" t="s">
        <v>849</v>
      </c>
      <c r="D10" s="991" t="s">
        <v>849</v>
      </c>
      <c r="E10" s="991" t="s">
        <v>849</v>
      </c>
      <c r="F10" s="991" t="s">
        <v>850</v>
      </c>
      <c r="G10" s="992"/>
      <c r="H10" s="462"/>
      <c r="M10" s="112"/>
      <c r="N10" s="112"/>
      <c r="O10" s="6"/>
      <c r="P10" s="6"/>
    </row>
    <row r="11" spans="2:17" ht="14" customHeight="1">
      <c r="B11" s="922" t="s">
        <v>181</v>
      </c>
      <c r="C11" s="999"/>
      <c r="D11" s="1000"/>
      <c r="E11" s="1000"/>
      <c r="F11" s="1001"/>
      <c r="G11" s="509"/>
      <c r="H11" s="509"/>
    </row>
    <row r="12" spans="2:17">
      <c r="B12" s="265" t="s">
        <v>145</v>
      </c>
      <c r="C12" s="512">
        <f>'BW2-Field Act. Labor &amp; Mach.'!I9</f>
        <v>9.23447</v>
      </c>
      <c r="D12" s="520">
        <f>'BW2-Field Act. Labor &amp; Mach.'!K9</f>
        <v>7.1626812745625896</v>
      </c>
      <c r="E12" s="520">
        <f>'BW2-Field Act. Labor &amp; Mach.'!L9</f>
        <v>6.5697668891297312</v>
      </c>
      <c r="F12" s="526"/>
      <c r="G12" s="465"/>
      <c r="H12" s="465"/>
    </row>
    <row r="13" spans="2:17">
      <c r="B13" s="132" t="s">
        <v>46</v>
      </c>
      <c r="C13" s="512">
        <f>'BW2-Field Act. Labor &amp; Mach.'!I10</f>
        <v>11.87289</v>
      </c>
      <c r="D13" s="520">
        <f>'BW2-Field Act. Labor &amp; Mach.'!K10</f>
        <v>16.900081383311999</v>
      </c>
      <c r="E13" s="520">
        <f>'BW2-Field Act. Labor &amp; Mach.'!L10</f>
        <v>23.703168100043012</v>
      </c>
      <c r="F13" s="526"/>
      <c r="G13" s="133"/>
      <c r="H13" s="465"/>
    </row>
    <row r="14" spans="2:17">
      <c r="B14" s="151" t="s">
        <v>69</v>
      </c>
      <c r="C14" s="512"/>
      <c r="D14" s="520"/>
      <c r="E14" s="520"/>
      <c r="F14" s="526">
        <f>'BW3-Variable Input'!C9</f>
        <v>116.66666666666667</v>
      </c>
      <c r="G14" s="133"/>
      <c r="H14" s="465"/>
    </row>
    <row r="15" spans="2:17">
      <c r="B15" s="132" t="s">
        <v>11</v>
      </c>
      <c r="C15" s="512">
        <f>'BW2-Field Act. Labor &amp; Mach.'!I13</f>
        <v>22.426569999999998</v>
      </c>
      <c r="D15" s="520">
        <f>'BW2-Field Act. Labor &amp; Mach.'!K13</f>
        <v>17.993866831056</v>
      </c>
      <c r="E15" s="520">
        <f>'BW2-Field Act. Labor &amp; Mach.'!L13</f>
        <v>44.771770188886023</v>
      </c>
      <c r="F15" s="526"/>
      <c r="G15" s="133"/>
      <c r="H15" s="463"/>
    </row>
    <row r="16" spans="2:17">
      <c r="B16" s="132" t="s">
        <v>137</v>
      </c>
      <c r="C16" s="512">
        <f>'BW2-Field Act. Labor &amp; Mach.'!I12</f>
        <v>6.59605</v>
      </c>
      <c r="D16" s="520">
        <f>'BW2-Field Act. Labor &amp; Mach.'!K12</f>
        <v>3.7281613670297151</v>
      </c>
      <c r="E16" s="520">
        <f>'BW2-Field Act. Labor &amp; Mach.'!L12</f>
        <v>3.4161206017736747</v>
      </c>
      <c r="F16" s="526"/>
      <c r="G16" s="133"/>
      <c r="H16" s="465"/>
    </row>
    <row r="17" spans="2:8">
      <c r="B17" s="132" t="s">
        <v>12</v>
      </c>
      <c r="C17" s="512">
        <f>'BW2-Field Act. Labor &amp; Mach.'!I14</f>
        <v>10.55368</v>
      </c>
      <c r="D17" s="520">
        <f>'BW2-Field Act. Labor &amp; Mach.'!K14</f>
        <v>9.2140341759999984</v>
      </c>
      <c r="E17" s="520">
        <f>'BW2-Field Act. Labor &amp; Mach.'!L14</f>
        <v>29.935417361494395</v>
      </c>
      <c r="F17" s="526"/>
      <c r="G17" s="133"/>
      <c r="H17" s="463"/>
    </row>
    <row r="18" spans="2:8">
      <c r="B18" s="132" t="s">
        <v>13</v>
      </c>
      <c r="C18" s="512">
        <f>'BW2-Field Act. Labor &amp; Mach.'!I17</f>
        <v>72.556550000000001</v>
      </c>
      <c r="D18" s="520">
        <f>'BW2-Field Act. Labor &amp; Mach.'!K17</f>
        <v>18.413226025968029</v>
      </c>
      <c r="E18" s="520">
        <f>'BW2-Field Act. Labor &amp; Mach.'!L17</f>
        <v>38.951406687324337</v>
      </c>
      <c r="F18" s="526"/>
      <c r="G18" s="133"/>
      <c r="H18" s="463"/>
    </row>
    <row r="19" spans="2:8">
      <c r="B19" s="151" t="str">
        <f>'BW3-Variable Input'!B19</f>
        <v>Plastic mulch for 84" bed spacing</v>
      </c>
      <c r="C19" s="512"/>
      <c r="D19" s="520"/>
      <c r="E19" s="520"/>
      <c r="F19" s="526">
        <f>'BW3-Variable Input'!C19</f>
        <v>77.785714285714278</v>
      </c>
      <c r="G19" s="133"/>
      <c r="H19" s="463"/>
    </row>
    <row r="20" spans="2:8">
      <c r="B20" s="151" t="s">
        <v>313</v>
      </c>
      <c r="C20" s="512"/>
      <c r="D20" s="520"/>
      <c r="E20" s="520"/>
      <c r="F20" s="526">
        <f>'BW3-Variable Input'!C21</f>
        <v>33.880000000000003</v>
      </c>
      <c r="G20" s="133"/>
      <c r="H20" s="463"/>
    </row>
    <row r="21" spans="2:8">
      <c r="B21" s="418" t="s">
        <v>315</v>
      </c>
      <c r="C21" s="513"/>
      <c r="D21" s="521"/>
      <c r="E21" s="521"/>
      <c r="F21" s="527">
        <f>'BW3-Variable Input'!C11</f>
        <v>186</v>
      </c>
      <c r="G21" s="486"/>
      <c r="H21" s="485"/>
    </row>
    <row r="22" spans="2:8">
      <c r="B22" s="132"/>
      <c r="C22" s="133"/>
      <c r="D22" s="133"/>
      <c r="E22" s="133"/>
      <c r="F22" s="133"/>
      <c r="G22" s="133"/>
      <c r="H22" s="466"/>
    </row>
    <row r="23" spans="2:8">
      <c r="B23" s="921" t="s">
        <v>10</v>
      </c>
      <c r="C23" s="515"/>
      <c r="D23" s="438"/>
      <c r="E23" s="438"/>
      <c r="F23" s="529"/>
      <c r="G23" s="422"/>
      <c r="H23" s="494"/>
    </row>
    <row r="24" spans="2:8">
      <c r="B24" s="132" t="str">
        <f>'BW2-Field Act. Labor &amp; Mach.'!B22</f>
        <v>Transplant on plastic mulch</v>
      </c>
      <c r="C24" s="512">
        <f>'BW2-Field Act. Labor &amp; Mach.'!I22</f>
        <v>131.92099999999999</v>
      </c>
      <c r="D24" s="520">
        <f>'BW2-Field Act. Labor &amp; Mach.'!K22</f>
        <v>36.302136438428491</v>
      </c>
      <c r="E24" s="520">
        <f>'BW2-Field Act. Labor &amp; Mach.'!L22</f>
        <v>41.509045695666089</v>
      </c>
      <c r="F24" s="526"/>
      <c r="G24" s="133"/>
      <c r="H24" s="133"/>
    </row>
    <row r="25" spans="2:8">
      <c r="B25" s="151" t="s">
        <v>685</v>
      </c>
      <c r="C25" s="512"/>
      <c r="D25" s="520"/>
      <c r="E25" s="520"/>
      <c r="F25" s="526">
        <f>'BW4-Transplant Production'!F18</f>
        <v>100.06914342857146</v>
      </c>
      <c r="G25" s="1029" t="s">
        <v>720</v>
      </c>
      <c r="H25" s="463"/>
    </row>
    <row r="26" spans="2:8">
      <c r="B26" s="418" t="s">
        <v>459</v>
      </c>
      <c r="C26" s="513">
        <f>'BW4-Transplant Production'!D18</f>
        <v>206.60414337870378</v>
      </c>
      <c r="D26" s="521"/>
      <c r="E26" s="521"/>
      <c r="F26" s="527">
        <f>'BW4-Transplant Production'!J45</f>
        <v>131.62611990789753</v>
      </c>
      <c r="G26" s="1030" t="s">
        <v>720</v>
      </c>
      <c r="H26" s="485"/>
    </row>
    <row r="27" spans="2:8">
      <c r="B27" s="132"/>
      <c r="C27" s="133"/>
      <c r="D27" s="133"/>
      <c r="E27" s="133"/>
      <c r="F27" s="133"/>
      <c r="G27" s="133"/>
      <c r="H27" s="133"/>
    </row>
    <row r="28" spans="2:8">
      <c r="B28" s="921" t="s">
        <v>37</v>
      </c>
      <c r="C28" s="515"/>
      <c r="D28" s="438"/>
      <c r="E28" s="438"/>
      <c r="F28" s="529"/>
      <c r="G28" s="422"/>
      <c r="H28" s="422"/>
    </row>
    <row r="29" spans="2:8">
      <c r="B29" s="462" t="s">
        <v>179</v>
      </c>
      <c r="C29" s="512">
        <f>'BW2-Field Act. Labor &amp; Mach.'!$I$31*2</f>
        <v>10.55368</v>
      </c>
      <c r="D29" s="520">
        <f>'BW2-Field Act. Labor &amp; Mach.'!K31*2</f>
        <v>1.6570295666513035</v>
      </c>
      <c r="E29" s="520">
        <f>'BW2-Field Act. Labor &amp; Mach.'!L31*2</f>
        <v>27.363002680965153</v>
      </c>
      <c r="F29" s="526"/>
      <c r="G29" s="133"/>
      <c r="H29" s="463"/>
    </row>
    <row r="30" spans="2:8">
      <c r="B30" s="151" t="str">
        <f>'BW5-Irrigation'!$B$8</f>
        <v>Irrigation supply cost</v>
      </c>
      <c r="C30" s="512"/>
      <c r="D30" s="520"/>
      <c r="E30" s="520"/>
      <c r="F30" s="526">
        <f>'BW5-Irrigation'!$E$8</f>
        <v>32.773534158149545</v>
      </c>
      <c r="G30" s="1029" t="s">
        <v>851</v>
      </c>
      <c r="H30" s="463"/>
    </row>
    <row r="31" spans="2:8">
      <c r="B31" s="132" t="str">
        <f>'BW5-Irrigation'!$B$9</f>
        <v>Irrigation set-up labor cost</v>
      </c>
      <c r="C31" s="512">
        <f>'BW5-Irrigation'!$E$9</f>
        <v>50.735370890410955</v>
      </c>
      <c r="D31" s="520"/>
      <c r="E31" s="520"/>
      <c r="F31" s="526"/>
      <c r="G31" s="1029" t="s">
        <v>851</v>
      </c>
      <c r="H31" s="463"/>
    </row>
    <row r="32" spans="2:8">
      <c r="B32" s="132" t="s">
        <v>294</v>
      </c>
      <c r="C32" s="512">
        <f>'BW2-Field Act. Labor &amp; Mach.'!I39*'BW5-Irrigation'!C31</f>
        <v>158.30520000000001</v>
      </c>
      <c r="D32" s="520"/>
      <c r="E32" s="520"/>
      <c r="F32" s="526"/>
      <c r="G32" s="133"/>
      <c r="H32" s="133"/>
    </row>
    <row r="33" spans="2:8">
      <c r="B33" s="132" t="s">
        <v>346</v>
      </c>
      <c r="C33" s="512">
        <f>'BW2-Field Act. Labor &amp; Mach.'!$I$30*2</f>
        <v>15.83052</v>
      </c>
      <c r="D33" s="520">
        <f>'BW2-Field Act. Labor &amp; Mach.'!K30*2</f>
        <v>3.8005199999999992</v>
      </c>
      <c r="E33" s="520">
        <f>'BW2-Field Act. Labor &amp; Mach.'!L30*2</f>
        <v>13.353658536585364</v>
      </c>
      <c r="F33" s="526"/>
      <c r="G33" s="133"/>
      <c r="H33" s="463"/>
    </row>
    <row r="34" spans="2:8">
      <c r="B34" s="473" t="s">
        <v>136</v>
      </c>
      <c r="C34" s="517">
        <v>197.88</v>
      </c>
      <c r="D34" s="523">
        <f>'BW2-Field Act. Labor &amp; Mach.'!K45</f>
        <v>5.6792833599999994</v>
      </c>
      <c r="E34" s="523">
        <f>'BW2-Field Act. Labor &amp; Mach.'!L45</f>
        <v>4.8213885683253004</v>
      </c>
      <c r="F34" s="530"/>
      <c r="G34" s="133"/>
      <c r="H34" s="463"/>
    </row>
    <row r="35" spans="2:8">
      <c r="B35" s="510" t="s">
        <v>341</v>
      </c>
      <c r="C35" s="517"/>
      <c r="D35" s="523"/>
      <c r="E35" s="523"/>
      <c r="F35" s="526">
        <f>'BW3-Variable Input'!$C$27</f>
        <v>654.99851816666671</v>
      </c>
      <c r="G35" s="133"/>
      <c r="H35" s="463"/>
    </row>
    <row r="36" spans="2:8">
      <c r="B36" s="473" t="s">
        <v>342</v>
      </c>
      <c r="C36" s="517">
        <f>'BW2-Field Act. Labor &amp; Mach.'!I47</f>
        <v>171.4973</v>
      </c>
      <c r="D36" s="523"/>
      <c r="E36" s="523"/>
      <c r="F36" s="530"/>
      <c r="G36" s="133"/>
      <c r="H36" s="463"/>
    </row>
    <row r="37" spans="2:8">
      <c r="B37" s="473" t="s">
        <v>188</v>
      </c>
      <c r="C37" s="517">
        <v>79.150000000000006</v>
      </c>
      <c r="D37" s="523">
        <f>'BW2-Field Act. Labor &amp; Mach.'!K46</f>
        <v>5.6792833599999994</v>
      </c>
      <c r="E37" s="523">
        <f>'BW2-Field Act. Labor &amp; Mach.'!L46</f>
        <v>4.8213885683253004</v>
      </c>
      <c r="F37" s="530"/>
      <c r="G37" s="133"/>
      <c r="H37" s="463"/>
    </row>
    <row r="38" spans="2:8">
      <c r="B38" s="265" t="str">
        <f>'BW2-Field Act. Labor &amp; Mach.'!$B$35</f>
        <v>Handweed plastic mulch holes</v>
      </c>
      <c r="C38" s="512">
        <f>'BW2-Field Act. Labor &amp; Mach.'!$I$35</f>
        <v>65.960499999999996</v>
      </c>
      <c r="D38" s="520"/>
      <c r="E38" s="520"/>
      <c r="F38" s="526"/>
      <c r="G38" s="133"/>
      <c r="H38" s="463"/>
    </row>
    <row r="39" spans="2:8">
      <c r="B39" s="132" t="s">
        <v>329</v>
      </c>
      <c r="C39" s="512">
        <f>'BW2-Field Act. Labor &amp; Mach.'!I37*5</f>
        <v>65.960499999999996</v>
      </c>
      <c r="D39" s="520">
        <f>'BW2-Field Act. Labor &amp; Mach.'!K37*5</f>
        <v>50.911108226300158</v>
      </c>
      <c r="E39" s="520">
        <f>'BW2-Field Act. Labor &amp; Mach.'!L37*5</f>
        <v>65.524665494630412</v>
      </c>
      <c r="F39" s="526"/>
      <c r="G39" s="133"/>
      <c r="H39" s="463"/>
    </row>
    <row r="40" spans="2:8">
      <c r="B40" s="414" t="s">
        <v>501</v>
      </c>
      <c r="C40" s="512"/>
      <c r="D40" s="520"/>
      <c r="E40" s="520"/>
      <c r="F40" s="526">
        <f>'BW3-Variable Input'!C59</f>
        <v>183.59469765684057</v>
      </c>
      <c r="G40" s="133"/>
      <c r="H40" s="463"/>
    </row>
    <row r="41" spans="2:8">
      <c r="B41" s="10" t="s">
        <v>189</v>
      </c>
      <c r="C41" s="532">
        <f>'BW2-Field Act. Labor &amp; Mach.'!$I$40*('BW5-Irrigation'!D31+'BW5-Irrigation'!E31)</f>
        <v>34.299460000000003</v>
      </c>
      <c r="D41" s="535">
        <f>'BW2-Field Act. Labor &amp; Mach.'!K40*('BW5-Irrigation'!C31+'BW5-Irrigation'!D31+'BW5-Irrigation'!E31)</f>
        <v>155.12662168262574</v>
      </c>
      <c r="E41" s="535">
        <f>'BW2-Field Act. Labor &amp; Mach.'!L40*('BW5-Irrigation'!C31+'BW5-Irrigation'!D31+'BW5-Irrigation'!E31)</f>
        <v>201.54754541598925</v>
      </c>
      <c r="F41" s="538"/>
      <c r="G41" s="1004"/>
      <c r="H41" s="463"/>
    </row>
    <row r="42" spans="2:8">
      <c r="B42" s="12" t="s">
        <v>612</v>
      </c>
      <c r="C42" s="532"/>
      <c r="D42" s="535"/>
      <c r="E42" s="535"/>
      <c r="F42" s="538">
        <f>'BW3-Variable Input'!$C$15*'BW5-Irrigation'!E31</f>
        <v>34</v>
      </c>
      <c r="G42" s="1029" t="s">
        <v>851</v>
      </c>
      <c r="H42" s="265"/>
    </row>
    <row r="43" spans="2:8">
      <c r="B43" s="490" t="s">
        <v>613</v>
      </c>
      <c r="C43" s="518"/>
      <c r="D43" s="524"/>
      <c r="E43" s="524"/>
      <c r="F43" s="531">
        <f>'BW3-Variable Input'!$C$16*'BW5-Irrigation'!F31</f>
        <v>19.5</v>
      </c>
      <c r="G43" s="1030" t="s">
        <v>851</v>
      </c>
      <c r="H43" s="542"/>
    </row>
    <row r="44" spans="2:8" s="453" customFormat="1">
      <c r="B44" s="824" t="s">
        <v>508</v>
      </c>
      <c r="C44" s="444">
        <f>SUM(C12:C21, C24:C26,C29:C43)</f>
        <v>1321.9378842691146</v>
      </c>
      <c r="D44" s="444">
        <f>SUM(D12:D21, D24:D26,D29:D43)</f>
        <v>332.56803369193403</v>
      </c>
      <c r="E44" s="444">
        <f>SUM(E12:E21, E24:E26,E29:E43)</f>
        <v>506.28834478913802</v>
      </c>
      <c r="F44" s="444">
        <f>SUM(F12:F21, F24:F26,F29:F43)</f>
        <v>1570.8943942705066</v>
      </c>
      <c r="G44" s="445" t="s">
        <v>4</v>
      </c>
      <c r="H44" s="446">
        <f>SUM(C44:F44)</f>
        <v>3731.6886570206934</v>
      </c>
    </row>
    <row r="45" spans="2:8" s="120" customFormat="1" ht="15" customHeight="1">
      <c r="B45" s="593"/>
      <c r="C45" s="133"/>
      <c r="D45" s="133"/>
      <c r="E45" s="133"/>
      <c r="F45" s="133"/>
      <c r="G45" s="924"/>
      <c r="H45" s="265"/>
    </row>
    <row r="46" spans="2:8" s="119" customFormat="1" ht="15" customHeight="1">
      <c r="B46" s="116" t="s">
        <v>914</v>
      </c>
      <c r="C46" s="133"/>
      <c r="D46" s="133"/>
      <c r="E46" s="133"/>
      <c r="F46" s="133"/>
      <c r="G46" s="924"/>
      <c r="H46" s="265"/>
    </row>
    <row r="47" spans="2:8">
      <c r="B47" s="921" t="s">
        <v>3</v>
      </c>
      <c r="C47" s="514"/>
      <c r="D47" s="522"/>
      <c r="E47" s="522"/>
      <c r="F47" s="528"/>
      <c r="G47" s="983"/>
      <c r="H47" s="494"/>
    </row>
    <row r="48" spans="2:8">
      <c r="B48" s="132" t="s">
        <v>619</v>
      </c>
      <c r="C48" s="512">
        <f>'BW6-Harvest and Wash-Pack'!D26+'BW2-Field Act. Labor &amp; Mach.'!I55</f>
        <v>290.22620000000001</v>
      </c>
      <c r="D48" s="520">
        <f>'BW2-Field Act. Labor &amp; Mach.'!K55</f>
        <v>14.792442634536425</v>
      </c>
      <c r="E48" s="520">
        <f>'BW2-Field Act. Labor &amp; Mach.'!L55</f>
        <v>14.444040020263422</v>
      </c>
      <c r="F48" s="526"/>
      <c r="G48" s="1029" t="s">
        <v>852</v>
      </c>
      <c r="H48" s="463"/>
    </row>
    <row r="49" spans="2:8">
      <c r="B49" s="416" t="s">
        <v>363</v>
      </c>
      <c r="C49" s="513">
        <f>'BW6-Harvest and Wash-Pack'!F26</f>
        <v>39.576300000000003</v>
      </c>
      <c r="D49" s="521"/>
      <c r="E49" s="521"/>
      <c r="F49" s="527"/>
      <c r="G49" s="1030" t="s">
        <v>852</v>
      </c>
      <c r="H49" s="485"/>
    </row>
    <row r="50" spans="2:8" s="453" customFormat="1">
      <c r="B50" s="824" t="s">
        <v>508</v>
      </c>
      <c r="C50" s="444">
        <f>SUM(C48:C49)</f>
        <v>329.80250000000001</v>
      </c>
      <c r="D50" s="444">
        <f>SUM(D48:D49)</f>
        <v>14.792442634536425</v>
      </c>
      <c r="E50" s="444">
        <f>SUM(E48:E49)</f>
        <v>14.444040020263422</v>
      </c>
      <c r="F50" s="444">
        <f>SUM(F48:F49)</f>
        <v>0</v>
      </c>
      <c r="G50" s="445" t="s">
        <v>4</v>
      </c>
      <c r="H50" s="446">
        <f>SUM(C50:F50)</f>
        <v>359.03898265479984</v>
      </c>
    </row>
    <row r="51" spans="2:8" s="120" customFormat="1" ht="15" customHeight="1">
      <c r="B51" s="593"/>
      <c r="C51" s="133"/>
      <c r="D51" s="133"/>
      <c r="E51" s="133"/>
      <c r="F51" s="133"/>
      <c r="G51" s="924"/>
      <c r="H51" s="265"/>
    </row>
    <row r="52" spans="2:8" s="119" customFormat="1" ht="15" customHeight="1">
      <c r="B52" s="116" t="s">
        <v>662</v>
      </c>
      <c r="C52" s="133"/>
      <c r="D52" s="133"/>
      <c r="E52" s="133"/>
      <c r="F52" s="133"/>
      <c r="G52" s="924"/>
      <c r="H52" s="265"/>
    </row>
    <row r="53" spans="2:8">
      <c r="B53" s="921" t="s">
        <v>663</v>
      </c>
      <c r="C53" s="515"/>
      <c r="D53" s="438"/>
      <c r="E53" s="438"/>
      <c r="F53" s="529"/>
      <c r="G53" s="494"/>
      <c r="H53" s="494"/>
    </row>
    <row r="54" spans="2:8">
      <c r="B54" s="132" t="s">
        <v>42</v>
      </c>
      <c r="C54" s="512">
        <f>'BW2-Field Act. Labor &amp; Mach.'!$I$62</f>
        <v>10.55368</v>
      </c>
      <c r="D54" s="520">
        <f>'BW2-Field Act. Labor &amp; Mach.'!K62</f>
        <v>8.1859214566429603</v>
      </c>
      <c r="E54" s="520">
        <f>'BW2-Field Act. Labor &amp; Mach.'!L62</f>
        <v>7.508305016148265</v>
      </c>
      <c r="F54" s="526"/>
      <c r="G54" s="463"/>
      <c r="H54" s="463"/>
    </row>
    <row r="55" spans="2:8">
      <c r="B55" s="132" t="s">
        <v>149</v>
      </c>
      <c r="C55" s="512">
        <f>'BW2-Field Act. Labor &amp; Mach.'!$I$63</f>
        <v>7.91526</v>
      </c>
      <c r="D55" s="520">
        <f>'BW2-Field Act. Labor &amp; Mach.'!K63</f>
        <v>6.9413678434651436</v>
      </c>
      <c r="E55" s="520">
        <f>'BW2-Field Act. Labor &amp; Mach.'!L63</f>
        <v>14.062451996276074</v>
      </c>
      <c r="F55" s="526"/>
      <c r="G55" s="463"/>
      <c r="H55" s="463"/>
    </row>
    <row r="56" spans="2:8">
      <c r="B56" s="132" t="s">
        <v>158</v>
      </c>
      <c r="C56" s="512">
        <f>'BW2-Field Act. Labor &amp; Mach.'!$I$64</f>
        <v>26.3842</v>
      </c>
      <c r="D56" s="520">
        <f>'BW2-Field Act. Labor &amp; Mach.'!K64</f>
        <v>4.5434266879999994</v>
      </c>
      <c r="E56" s="520">
        <f>'BW2-Field Act. Labor &amp; Mach.'!L64</f>
        <v>3.8571108546602404</v>
      </c>
      <c r="F56" s="526"/>
      <c r="G56" s="463"/>
      <c r="H56" s="463"/>
    </row>
    <row r="57" spans="2:8">
      <c r="B57" s="132" t="s">
        <v>43</v>
      </c>
      <c r="C57" s="512">
        <f>'BW2-Field Act. Labor &amp; Mach.'!$I$66</f>
        <v>5.27684</v>
      </c>
      <c r="D57" s="520">
        <f>'BW2-Field Act. Labor &amp; Mach.'!K66</f>
        <v>4.7393418269465482</v>
      </c>
      <c r="E57" s="520">
        <f>'BW2-Field Act. Labor &amp; Mach.'!L66</f>
        <v>4.8215303303156709</v>
      </c>
      <c r="F57" s="526"/>
      <c r="G57" s="463"/>
      <c r="H57" s="463"/>
    </row>
    <row r="58" spans="2:8">
      <c r="B58" s="132" t="s">
        <v>44</v>
      </c>
      <c r="C58" s="512">
        <f>'BW2-Field Act. Labor &amp; Mach.'!$I$67</f>
        <v>5.27684</v>
      </c>
      <c r="D58" s="520">
        <f>'BW2-Field Act. Labor &amp; Mach.'!K67</f>
        <v>4.5754035882945541</v>
      </c>
      <c r="E58" s="520">
        <f>'BW2-Field Act. Labor &amp; Mach.'!L67</f>
        <v>8.7882358546602415</v>
      </c>
      <c r="F58" s="526"/>
      <c r="G58" s="463"/>
      <c r="H58" s="463"/>
    </row>
    <row r="59" spans="2:8">
      <c r="B59" s="132" t="s">
        <v>45</v>
      </c>
      <c r="C59" s="512">
        <f>'BW2-Field Act. Labor &amp; Mach.'!$I$69</f>
        <v>14.511310000000002</v>
      </c>
      <c r="D59" s="520">
        <f>'BW2-Field Act. Labor &amp; Mach.'!K69</f>
        <v>5.9046727740142977</v>
      </c>
      <c r="E59" s="520">
        <f>'BW2-Field Act. Labor &amp; Mach.'!L69</f>
        <v>8.041581086300118</v>
      </c>
      <c r="F59" s="526"/>
      <c r="G59" s="265"/>
      <c r="H59" s="265"/>
    </row>
    <row r="60" spans="2:8">
      <c r="B60" s="500" t="str">
        <f>'BW3-Variable Input'!$B$33</f>
        <v>Winter cover crop seed</v>
      </c>
      <c r="C60" s="513"/>
      <c r="D60" s="521"/>
      <c r="E60" s="521"/>
      <c r="F60" s="527">
        <f>'BW3-Variable Input'!$C$33</f>
        <v>31.793452380952385</v>
      </c>
      <c r="G60" s="492"/>
      <c r="H60" s="492"/>
    </row>
    <row r="61" spans="2:8" s="453" customFormat="1">
      <c r="B61" s="824" t="s">
        <v>508</v>
      </c>
      <c r="C61" s="444">
        <f>SUM(C54:C60)</f>
        <v>69.918129999999991</v>
      </c>
      <c r="D61" s="444">
        <f>SUM(D54:D60)</f>
        <v>34.890134177363507</v>
      </c>
      <c r="E61" s="444">
        <f>SUM(E54:E60)</f>
        <v>47.07921513836061</v>
      </c>
      <c r="F61" s="444">
        <f>SUM(F54:F60)</f>
        <v>31.793452380952385</v>
      </c>
      <c r="G61" s="447" t="s">
        <v>4</v>
      </c>
      <c r="H61" s="446">
        <f>SUM(C61:F61)</f>
        <v>183.68093169667648</v>
      </c>
    </row>
    <row r="62" spans="2:8" s="120" customFormat="1">
      <c r="B62" s="593"/>
      <c r="C62" s="133"/>
      <c r="D62" s="133"/>
      <c r="E62" s="133"/>
      <c r="F62" s="133"/>
      <c r="G62" s="463"/>
      <c r="H62" s="463"/>
    </row>
    <row r="63" spans="2:8" s="453" customFormat="1">
      <c r="B63" s="116" t="s">
        <v>515</v>
      </c>
      <c r="C63" s="444">
        <f>C44+C50+C61</f>
        <v>1721.6585142691147</v>
      </c>
      <c r="D63" s="444">
        <f>D44+D50+D61</f>
        <v>382.25061050383397</v>
      </c>
      <c r="E63" s="444">
        <f>E44+E50+E61</f>
        <v>567.81159994776203</v>
      </c>
      <c r="F63" s="444">
        <f>F44+F50+F61</f>
        <v>1602.687846651459</v>
      </c>
      <c r="G63" s="447" t="s">
        <v>4</v>
      </c>
      <c r="H63" s="446">
        <f>SUM(C63:F63)</f>
        <v>4274.4085713721697</v>
      </c>
    </row>
    <row r="64" spans="2:8">
      <c r="B64" s="114"/>
      <c r="C64" s="133"/>
      <c r="D64" s="133"/>
      <c r="E64" s="133"/>
      <c r="F64" s="133"/>
      <c r="G64" s="463"/>
      <c r="H64" s="463"/>
    </row>
    <row r="65" spans="2:8">
      <c r="B65" s="1032"/>
      <c r="C65" s="1033"/>
      <c r="D65" s="1033"/>
      <c r="E65" s="1033"/>
      <c r="F65" s="1033"/>
      <c r="G65" s="1033"/>
      <c r="H65" s="1033"/>
    </row>
    <row r="66" spans="2:8">
      <c r="B66" s="916"/>
      <c r="C66" s="916"/>
      <c r="D66" s="916"/>
      <c r="E66" s="916"/>
      <c r="F66" s="916"/>
      <c r="G66" s="916"/>
      <c r="H66" s="916"/>
    </row>
    <row r="67" spans="2:8">
      <c r="B67" s="116" t="s">
        <v>664</v>
      </c>
      <c r="C67" s="916"/>
      <c r="D67" s="916"/>
      <c r="E67" s="916"/>
      <c r="F67" s="916"/>
      <c r="G67" s="916"/>
      <c r="H67" s="916"/>
    </row>
    <row r="68" spans="2:8">
      <c r="B68" s="985" t="s">
        <v>668</v>
      </c>
      <c r="C68" s="916"/>
      <c r="D68" s="916"/>
      <c r="E68" s="916"/>
      <c r="F68" s="916"/>
      <c r="G68" s="916"/>
      <c r="H68" s="986">
        <f>C44+C61</f>
        <v>1391.8560142691147</v>
      </c>
    </row>
    <row r="69" spans="2:8">
      <c r="B69" s="135" t="s">
        <v>667</v>
      </c>
      <c r="C69" s="916"/>
      <c r="D69" s="916"/>
      <c r="E69" s="916"/>
      <c r="F69" s="916"/>
      <c r="G69" s="916"/>
      <c r="H69" s="986">
        <f>D44+D61</f>
        <v>367.45816786929754</v>
      </c>
    </row>
    <row r="70" spans="2:8">
      <c r="B70" s="985" t="s">
        <v>669</v>
      </c>
      <c r="C70" s="469"/>
      <c r="D70" s="133"/>
      <c r="E70" s="444"/>
      <c r="F70" s="464"/>
      <c r="G70" s="442"/>
      <c r="H70" s="463">
        <f>F44+F61</f>
        <v>1602.687846651459</v>
      </c>
    </row>
    <row r="71" spans="2:8">
      <c r="B71" s="831" t="s">
        <v>666</v>
      </c>
      <c r="C71" s="469"/>
      <c r="D71" s="469"/>
      <c r="E71" s="592"/>
      <c r="F71" s="464"/>
      <c r="G71" s="442"/>
      <c r="H71" s="848">
        <f>SUM(H68:H70)</f>
        <v>3362.0020287898715</v>
      </c>
    </row>
    <row r="72" spans="2:8">
      <c r="B72" s="985" t="s">
        <v>680</v>
      </c>
      <c r="C72" s="469"/>
      <c r="D72" s="469"/>
      <c r="E72" s="469"/>
      <c r="F72" s="132"/>
      <c r="G72" s="442"/>
      <c r="H72" s="463">
        <f>C50</f>
        <v>329.80250000000001</v>
      </c>
    </row>
    <row r="73" spans="2:8">
      <c r="B73" s="985" t="s">
        <v>445</v>
      </c>
      <c r="C73" s="469"/>
      <c r="D73" s="469"/>
      <c r="E73" s="469"/>
      <c r="F73" s="132"/>
      <c r="G73" s="442"/>
      <c r="H73" s="463">
        <f>D50</f>
        <v>14.792442634536425</v>
      </c>
    </row>
    <row r="74" spans="2:8">
      <c r="B74" s="985" t="s">
        <v>670</v>
      </c>
      <c r="C74" s="469"/>
      <c r="D74" s="444"/>
      <c r="E74" s="469"/>
      <c r="F74" s="132"/>
      <c r="G74" s="132"/>
      <c r="H74" s="463">
        <f>F50</f>
        <v>0</v>
      </c>
    </row>
    <row r="75" spans="2:8">
      <c r="B75" s="831" t="s">
        <v>671</v>
      </c>
      <c r="C75" s="43"/>
      <c r="D75" s="43"/>
      <c r="E75" s="832"/>
      <c r="F75" s="43"/>
      <c r="G75" s="43"/>
      <c r="H75" s="598">
        <f>SUM(H72:H74)</f>
        <v>344.59494263453644</v>
      </c>
    </row>
    <row r="76" spans="2:8">
      <c r="B76" s="833" t="s">
        <v>513</v>
      </c>
      <c r="C76" s="919"/>
      <c r="D76" s="919"/>
      <c r="E76" s="987"/>
      <c r="F76" s="988"/>
      <c r="G76" s="919"/>
      <c r="H76" s="818">
        <f>H71+H75</f>
        <v>3706.5969714244079</v>
      </c>
    </row>
    <row r="77" spans="2:8">
      <c r="B77" s="985" t="s">
        <v>672</v>
      </c>
      <c r="C77" s="135"/>
      <c r="D77" s="135"/>
      <c r="E77" s="472"/>
      <c r="F77" s="135"/>
      <c r="G77" s="135"/>
      <c r="H77" s="989">
        <f>E44+E61</f>
        <v>553.36755992749863</v>
      </c>
    </row>
    <row r="78" spans="2:8">
      <c r="B78" s="985" t="s">
        <v>673</v>
      </c>
      <c r="C78" s="135"/>
      <c r="D78" s="135"/>
      <c r="E78" s="472"/>
      <c r="F78" s="135"/>
      <c r="G78" s="135"/>
      <c r="H78" s="990">
        <f>E50</f>
        <v>14.444040020263422</v>
      </c>
    </row>
    <row r="79" spans="2:8">
      <c r="B79" s="837" t="s">
        <v>514</v>
      </c>
      <c r="C79" s="919"/>
      <c r="D79" s="919"/>
      <c r="E79" s="987"/>
      <c r="F79" s="988"/>
      <c r="G79" s="919"/>
      <c r="H79" s="819">
        <f>H77+H78</f>
        <v>567.81159994776203</v>
      </c>
    </row>
    <row r="80" spans="2:8">
      <c r="B80" s="264"/>
      <c r="C80" s="469"/>
      <c r="D80" s="242"/>
      <c r="E80" s="469"/>
      <c r="F80" s="132"/>
      <c r="G80" s="132"/>
      <c r="H80" s="442"/>
    </row>
    <row r="81" spans="2:8">
      <c r="B81" s="132"/>
      <c r="C81" s="469"/>
      <c r="D81" s="469"/>
      <c r="E81" s="469"/>
      <c r="F81" s="132"/>
      <c r="G81" s="442"/>
      <c r="H81" s="442"/>
    </row>
    <row r="82" spans="2:8">
      <c r="B82" s="110"/>
      <c r="C82" s="133"/>
      <c r="D82" s="133"/>
      <c r="E82" s="133"/>
      <c r="F82" s="133"/>
      <c r="H82" s="243"/>
    </row>
    <row r="83" spans="2:8">
      <c r="B83" s="110"/>
      <c r="C83" s="109"/>
      <c r="D83" s="110"/>
      <c r="E83" s="110"/>
      <c r="F83" s="110"/>
      <c r="G83" s="109"/>
      <c r="H83"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77"/>
  <sheetViews>
    <sheetView showGridLines="0" view="pageLayout" topLeftCell="A25" workbookViewId="0">
      <selection activeCell="B41" sqref="B41"/>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Index'!B45</f>
        <v>Onions, Bulb</v>
      </c>
      <c r="C2" s="221"/>
      <c r="D2" s="221"/>
      <c r="E2" s="221"/>
      <c r="I2" s="109"/>
      <c r="J2" s="109"/>
      <c r="K2" s="109"/>
      <c r="L2" s="109"/>
      <c r="M2" s="109"/>
      <c r="N2" s="109"/>
    </row>
    <row r="3" spans="2:19" ht="33.5"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7">
        <f>'BW1-Bed and Row Spacing'!J27</f>
        <v>6701.5384615384619</v>
      </c>
      <c r="F4" s="135"/>
      <c r="G4" s="135"/>
      <c r="H4" s="135"/>
      <c r="I4" s="226"/>
      <c r="J4" s="226"/>
      <c r="K4" s="226"/>
      <c r="L4" s="109"/>
      <c r="M4" s="110"/>
      <c r="N4" s="111"/>
      <c r="O4" s="112"/>
      <c r="P4" s="112"/>
      <c r="Q4" s="112"/>
      <c r="R4" s="112"/>
      <c r="S4" s="112"/>
    </row>
    <row r="5" spans="2:19">
      <c r="B5" s="915"/>
      <c r="C5" s="132" t="s">
        <v>366</v>
      </c>
      <c r="D5" s="916"/>
      <c r="E5" s="1338" t="s">
        <v>817</v>
      </c>
      <c r="F5" s="1338"/>
      <c r="G5" s="1338"/>
      <c r="H5" s="1338"/>
      <c r="M5" s="110"/>
      <c r="N5" s="111"/>
      <c r="O5" s="112"/>
      <c r="P5" s="112"/>
      <c r="Q5" s="112"/>
      <c r="R5" s="112"/>
      <c r="S5" s="112"/>
    </row>
    <row r="6" spans="2:19">
      <c r="B6" s="223"/>
      <c r="C6" s="915"/>
      <c r="D6" s="916"/>
      <c r="E6" s="1338"/>
      <c r="F6" s="1338"/>
      <c r="G6" s="1338"/>
      <c r="H6" s="1338"/>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6" customHeight="1">
      <c r="B11" s="922" t="s">
        <v>181</v>
      </c>
      <c r="C11" s="999"/>
      <c r="D11" s="1000"/>
      <c r="E11" s="1000"/>
      <c r="F11" s="1001"/>
      <c r="G11" s="509"/>
      <c r="H11" s="509"/>
      <c r="I11" s="110"/>
      <c r="J11" s="122"/>
      <c r="K11" s="121"/>
      <c r="L11" s="112"/>
      <c r="M11" s="112"/>
      <c r="N11" s="112"/>
      <c r="O11" s="112"/>
    </row>
    <row r="12" spans="2:19" ht="15" customHeight="1">
      <c r="B12" s="265" t="s">
        <v>145</v>
      </c>
      <c r="C12" s="512">
        <f>'BW2-Field Act. Labor &amp; Mach.'!I9</f>
        <v>9.23447</v>
      </c>
      <c r="D12" s="520">
        <f>'BW2-Field Act. Labor &amp; Mach.'!K9</f>
        <v>7.1626812745625896</v>
      </c>
      <c r="E12" s="520">
        <f>'BW2-Field Act. Labor &amp; Mach.'!L9</f>
        <v>6.5697668891297312</v>
      </c>
      <c r="F12" s="526"/>
      <c r="G12" s="465"/>
      <c r="H12" s="465"/>
      <c r="I12" s="5"/>
      <c r="J12" s="112"/>
      <c r="K12" s="118"/>
      <c r="L12" s="118"/>
      <c r="M12" s="112"/>
      <c r="N12" s="112"/>
      <c r="O12" s="112"/>
    </row>
    <row r="13" spans="2:19" ht="15" customHeight="1">
      <c r="B13" s="132" t="s">
        <v>46</v>
      </c>
      <c r="C13" s="512">
        <f>'BW2-Field Act. Labor &amp; Mach.'!I10</f>
        <v>11.87289</v>
      </c>
      <c r="D13" s="520">
        <f>'BW2-Field Act. Labor &amp; Mach.'!K10</f>
        <v>16.900081383311999</v>
      </c>
      <c r="E13" s="520">
        <f>'BW2-Field Act. Labor &amp; Mach.'!L10</f>
        <v>23.703168100043012</v>
      </c>
      <c r="F13" s="526"/>
      <c r="G13" s="133"/>
      <c r="H13" s="465"/>
      <c r="I13" s="5"/>
      <c r="J13" s="112"/>
      <c r="K13" s="112"/>
      <c r="L13" s="112"/>
      <c r="M13" s="118"/>
      <c r="N13" s="112"/>
      <c r="O13" s="112"/>
    </row>
    <row r="14" spans="2:19" ht="15" customHeight="1">
      <c r="B14" s="151" t="s">
        <v>69</v>
      </c>
      <c r="C14" s="512"/>
      <c r="D14" s="520"/>
      <c r="E14" s="520"/>
      <c r="F14" s="526">
        <f>'BW3-Variable Input'!C9</f>
        <v>116.66666666666667</v>
      </c>
      <c r="G14" s="133"/>
      <c r="H14" s="465"/>
      <c r="I14" s="5"/>
      <c r="J14" s="112"/>
      <c r="K14" s="112"/>
      <c r="L14" s="112"/>
      <c r="M14" s="118"/>
      <c r="N14" s="112"/>
      <c r="O14" s="112"/>
    </row>
    <row r="15" spans="2:19" ht="15" customHeight="1">
      <c r="B15" s="132" t="s">
        <v>11</v>
      </c>
      <c r="C15" s="512">
        <f>'BW2-Field Act. Labor &amp; Mach.'!I13</f>
        <v>22.426569999999998</v>
      </c>
      <c r="D15" s="520">
        <f>'BW2-Field Act. Labor &amp; Mach.'!K13</f>
        <v>17.993866831056</v>
      </c>
      <c r="E15" s="520">
        <f>'BW2-Field Act. Labor &amp; Mach.'!L13</f>
        <v>44.771770188886023</v>
      </c>
      <c r="F15" s="526"/>
      <c r="G15" s="133"/>
      <c r="H15" s="463"/>
      <c r="I15" s="5"/>
      <c r="J15" s="112"/>
      <c r="K15" s="112"/>
      <c r="L15" s="112"/>
      <c r="M15" s="118"/>
      <c r="N15" s="112"/>
      <c r="O15" s="112"/>
    </row>
    <row r="16" spans="2:19" ht="15" customHeight="1">
      <c r="B16" s="132" t="s">
        <v>12</v>
      </c>
      <c r="C16" s="512">
        <f>'BW2-Field Act. Labor &amp; Mach.'!I14</f>
        <v>10.55368</v>
      </c>
      <c r="D16" s="520">
        <f>'BW2-Field Act. Labor &amp; Mach.'!K14</f>
        <v>9.2140341759999984</v>
      </c>
      <c r="E16" s="520">
        <f>'BW2-Field Act. Labor &amp; Mach.'!L14</f>
        <v>29.935417361494395</v>
      </c>
      <c r="F16" s="526"/>
      <c r="G16" s="133"/>
      <c r="H16" s="463"/>
      <c r="I16" s="5"/>
      <c r="J16" s="112"/>
      <c r="K16" s="112"/>
      <c r="L16" s="112"/>
      <c r="M16" s="112"/>
      <c r="N16" s="112"/>
      <c r="O16" s="112"/>
    </row>
    <row r="17" spans="2:15" ht="15" customHeight="1">
      <c r="B17" s="132" t="s">
        <v>144</v>
      </c>
      <c r="C17" s="512">
        <f>'BW2-Field Act. Labor &amp; Mach.'!I15</f>
        <v>59.364449999999998</v>
      </c>
      <c r="D17" s="520">
        <f>'BW2-Field Act. Labor &amp; Mach.'!K15</f>
        <v>11.732543673988348</v>
      </c>
      <c r="E17" s="520">
        <f>'BW2-Field Act. Labor &amp; Mach.'!L15</f>
        <v>19.938595491388046</v>
      </c>
      <c r="F17" s="526"/>
      <c r="G17" s="133"/>
      <c r="H17" s="463"/>
      <c r="I17" s="5"/>
      <c r="J17" s="112"/>
      <c r="K17" s="112"/>
      <c r="L17" s="112"/>
      <c r="M17" s="112"/>
      <c r="N17" s="112"/>
      <c r="O17" s="112"/>
    </row>
    <row r="18" spans="2:15" ht="15" customHeight="1">
      <c r="B18" s="151" t="s">
        <v>313</v>
      </c>
      <c r="C18" s="512"/>
      <c r="D18" s="520"/>
      <c r="E18" s="520"/>
      <c r="F18" s="526">
        <f>'BW3-Variable Input'!C23</f>
        <v>125.09538461538463</v>
      </c>
      <c r="G18" s="133"/>
      <c r="H18" s="463"/>
      <c r="I18" s="5"/>
      <c r="J18" s="118"/>
      <c r="K18" s="118"/>
      <c r="L18" s="118"/>
      <c r="M18" s="112"/>
      <c r="N18" s="112"/>
      <c r="O18" s="112"/>
    </row>
    <row r="19" spans="2:15" ht="15" customHeight="1">
      <c r="B19" s="416" t="s">
        <v>192</v>
      </c>
      <c r="C19" s="513">
        <f>'BW2-Field Act. Labor &amp; Mach.'!I16*2</f>
        <v>21.10736</v>
      </c>
      <c r="D19" s="521">
        <f>'BW2-Field Act. Labor &amp; Mach.'!K16*2</f>
        <v>12.051200395575469</v>
      </c>
      <c r="E19" s="521">
        <f>'BW2-Field Act. Labor &amp; Mach.'!L16*2</f>
        <v>17.332156747393537</v>
      </c>
      <c r="F19" s="527"/>
      <c r="G19" s="486"/>
      <c r="H19" s="485"/>
      <c r="I19" s="5"/>
      <c r="J19" s="112"/>
      <c r="K19" s="112"/>
      <c r="L19" s="112"/>
      <c r="M19" s="112"/>
      <c r="N19" s="112"/>
      <c r="O19" s="112"/>
    </row>
    <row r="20" spans="2:15" ht="15" customHeight="1">
      <c r="B20" s="132"/>
      <c r="C20" s="133"/>
      <c r="D20" s="133"/>
      <c r="E20" s="133"/>
      <c r="F20" s="133"/>
      <c r="G20" s="133"/>
      <c r="H20" s="466"/>
      <c r="I20" s="5"/>
      <c r="J20" s="112"/>
      <c r="K20" s="112"/>
      <c r="L20" s="112"/>
      <c r="M20" s="112"/>
      <c r="N20" s="112"/>
      <c r="O20" s="112"/>
    </row>
    <row r="21" spans="2:15" ht="15" customHeight="1">
      <c r="B21" s="921" t="s">
        <v>10</v>
      </c>
      <c r="C21" s="515"/>
      <c r="D21" s="438"/>
      <c r="E21" s="438"/>
      <c r="F21" s="529"/>
      <c r="G21" s="422"/>
      <c r="H21" s="494"/>
      <c r="I21" s="5"/>
      <c r="J21" s="112"/>
      <c r="K21" s="112"/>
      <c r="L21" s="112"/>
      <c r="M21" s="112"/>
      <c r="N21" s="112"/>
      <c r="O21" s="112"/>
    </row>
    <row r="22" spans="2:15" ht="15" customHeight="1">
      <c r="B22" s="132" t="str">
        <f>'BW2-Field Act. Labor &amp; Mach.'!B21</f>
        <v>Transplant on bareground</v>
      </c>
      <c r="C22" s="516">
        <f>'BW2-Field Act. Labor &amp; Mach.'!I21</f>
        <v>237.45779999999999</v>
      </c>
      <c r="D22" s="520">
        <f>'BW2-Field Act. Labor &amp; Mach.'!K21</f>
        <v>36.893392063675897</v>
      </c>
      <c r="E22" s="520">
        <f>'BW2-Field Act. Labor &amp; Mach.'!L21</f>
        <v>114.11450861195542</v>
      </c>
      <c r="F22" s="526"/>
      <c r="G22" s="133"/>
      <c r="H22" s="463"/>
      <c r="I22" s="110"/>
      <c r="J22" s="112"/>
      <c r="K22" s="112"/>
      <c r="L22" s="112"/>
      <c r="M22" s="112"/>
      <c r="N22" s="112"/>
      <c r="O22" s="112"/>
    </row>
    <row r="23" spans="2:15" ht="15" customHeight="1">
      <c r="B23" s="151" t="s">
        <v>685</v>
      </c>
      <c r="C23" s="512"/>
      <c r="D23" s="520"/>
      <c r="E23" s="520"/>
      <c r="F23" s="526">
        <f>'BW4-Transplant Production'!F19</f>
        <v>61.357052307692335</v>
      </c>
      <c r="G23" s="1029" t="s">
        <v>720</v>
      </c>
      <c r="H23" s="463"/>
      <c r="I23" s="110"/>
      <c r="J23" s="112"/>
      <c r="K23" s="112"/>
      <c r="L23" s="112"/>
      <c r="M23" s="112"/>
      <c r="N23" s="112"/>
      <c r="O23" s="112"/>
    </row>
    <row r="24" spans="2:15" ht="15" customHeight="1">
      <c r="B24" s="151" t="s">
        <v>459</v>
      </c>
      <c r="C24" s="512">
        <f>'BW4-Transplant Production'!D19</f>
        <v>494.43726620544493</v>
      </c>
      <c r="D24" s="520"/>
      <c r="E24" s="520"/>
      <c r="F24" s="526">
        <f>'BW4-Transplant Production'!J46</f>
        <v>279.58819889560959</v>
      </c>
      <c r="G24" s="1029" t="s">
        <v>720</v>
      </c>
      <c r="H24" s="463"/>
      <c r="I24" s="110"/>
      <c r="J24" s="112"/>
      <c r="K24" s="112"/>
      <c r="L24" s="112"/>
      <c r="M24" s="112"/>
      <c r="N24" s="112"/>
      <c r="O24" s="112"/>
    </row>
    <row r="25" spans="2:15" ht="15" customHeight="1">
      <c r="B25" s="418" t="s">
        <v>315</v>
      </c>
      <c r="C25" s="513"/>
      <c r="D25" s="521"/>
      <c r="E25" s="521"/>
      <c r="F25" s="527">
        <f>'BW3-Variable Input'!C10</f>
        <v>124</v>
      </c>
      <c r="G25" s="486"/>
      <c r="H25" s="485"/>
      <c r="I25" s="110"/>
      <c r="J25" s="112"/>
      <c r="K25" s="112"/>
      <c r="L25" s="112"/>
      <c r="M25" s="112"/>
      <c r="N25" s="112"/>
      <c r="O25" s="112"/>
    </row>
    <row r="26" spans="2:15" ht="15" customHeight="1">
      <c r="B26" s="132"/>
      <c r="C26" s="133"/>
      <c r="D26" s="133"/>
      <c r="E26" s="133"/>
      <c r="F26" s="133"/>
      <c r="G26" s="133"/>
      <c r="H26" s="466"/>
      <c r="I26" s="110"/>
      <c r="J26" s="112"/>
      <c r="K26" s="112"/>
      <c r="L26" s="112"/>
      <c r="M26" s="112"/>
      <c r="N26" s="112"/>
      <c r="O26" s="112"/>
    </row>
    <row r="27" spans="2:15" ht="15" customHeight="1">
      <c r="B27" s="921" t="s">
        <v>37</v>
      </c>
      <c r="C27" s="515"/>
      <c r="D27" s="438"/>
      <c r="E27" s="438"/>
      <c r="F27" s="529"/>
      <c r="G27" s="422"/>
      <c r="H27" s="494"/>
      <c r="I27" s="110"/>
      <c r="J27" s="112"/>
      <c r="K27" s="112"/>
      <c r="L27" s="112"/>
      <c r="M27" s="112"/>
      <c r="N27" s="112"/>
      <c r="O27" s="112"/>
    </row>
    <row r="28" spans="2:15" ht="15" customHeight="1">
      <c r="B28" s="462" t="s">
        <v>179</v>
      </c>
      <c r="C28" s="512">
        <f>'BW2-Field Act. Labor &amp; Mach.'!$I$31*2</f>
        <v>10.55368</v>
      </c>
      <c r="D28" s="520">
        <f>'BW2-Field Act. Labor &amp; Mach.'!K31*2</f>
        <v>1.6570295666513035</v>
      </c>
      <c r="E28" s="520">
        <f>'BW2-Field Act. Labor &amp; Mach.'!L31*2</f>
        <v>27.363002680965153</v>
      </c>
      <c r="F28" s="526"/>
      <c r="G28" s="133"/>
      <c r="H28" s="133"/>
      <c r="I28" s="110"/>
      <c r="J28" s="112"/>
      <c r="K28" s="118"/>
      <c r="L28" s="112"/>
      <c r="M28" s="112"/>
      <c r="N28" s="112"/>
      <c r="O28" s="112"/>
    </row>
    <row r="29" spans="2:15" ht="15" customHeight="1">
      <c r="B29" s="151" t="str">
        <f>'BW5-Irrigation'!$B$8</f>
        <v>Irrigation supply cost</v>
      </c>
      <c r="C29" s="512"/>
      <c r="D29" s="520"/>
      <c r="E29" s="520"/>
      <c r="F29" s="526">
        <f>'BW5-Irrigation'!$E$8</f>
        <v>32.773534158149545</v>
      </c>
      <c r="G29" s="1029" t="s">
        <v>851</v>
      </c>
      <c r="H29" s="133"/>
      <c r="I29" s="110"/>
      <c r="J29" s="112"/>
      <c r="K29" s="118"/>
      <c r="L29" s="112"/>
      <c r="M29" s="112"/>
      <c r="N29" s="112"/>
      <c r="O29" s="112"/>
    </row>
    <row r="30" spans="2:15" ht="15" customHeight="1">
      <c r="B30" s="132" t="str">
        <f>'BW5-Irrigation'!$B$9</f>
        <v>Irrigation set-up labor cost</v>
      </c>
      <c r="C30" s="512">
        <f>'BW5-Irrigation'!$E$9</f>
        <v>50.735370890410955</v>
      </c>
      <c r="D30" s="520"/>
      <c r="E30" s="520"/>
      <c r="F30" s="526"/>
      <c r="G30" s="1029" t="s">
        <v>851</v>
      </c>
      <c r="H30" s="133"/>
      <c r="I30" s="110"/>
      <c r="J30" s="112"/>
      <c r="K30" s="118"/>
      <c r="L30" s="112"/>
      <c r="M30" s="112"/>
      <c r="N30" s="112"/>
      <c r="O30" s="112"/>
    </row>
    <row r="31" spans="2:15" ht="15" customHeight="1">
      <c r="B31" s="132" t="s">
        <v>294</v>
      </c>
      <c r="C31" s="512">
        <f>'BW2-Field Act. Labor &amp; Mach.'!I39*'BW5-Irrigation'!C32</f>
        <v>158.30520000000001</v>
      </c>
      <c r="D31" s="520"/>
      <c r="E31" s="520"/>
      <c r="F31" s="526"/>
      <c r="G31" s="133"/>
      <c r="H31" s="463"/>
      <c r="I31" s="115"/>
      <c r="J31" s="118"/>
      <c r="K31" s="118"/>
      <c r="L31" s="118"/>
      <c r="M31" s="112"/>
      <c r="N31" s="112"/>
      <c r="O31" s="112"/>
    </row>
    <row r="32" spans="2:15" ht="15" customHeight="1">
      <c r="B32" s="462" t="s">
        <v>230</v>
      </c>
      <c r="C32" s="517">
        <v>6.6</v>
      </c>
      <c r="D32" s="523">
        <f>'BW2-Field Act. Labor &amp; Mach.'!K32</f>
        <v>0.70423756582680397</v>
      </c>
      <c r="E32" s="523">
        <f>'BW2-Field Act. Labor &amp; Mach.'!L32</f>
        <v>11.629276139410191</v>
      </c>
      <c r="F32" s="530"/>
      <c r="G32" s="133"/>
      <c r="H32" s="133"/>
      <c r="I32" s="110"/>
      <c r="J32" s="112"/>
      <c r="K32" s="118"/>
      <c r="L32" s="112"/>
      <c r="M32" s="112"/>
      <c r="N32" s="112"/>
      <c r="O32" s="112"/>
    </row>
    <row r="33" spans="2:19" ht="15" customHeight="1">
      <c r="B33" s="482" t="s">
        <v>308</v>
      </c>
      <c r="C33" s="517"/>
      <c r="D33" s="523"/>
      <c r="E33" s="523"/>
      <c r="F33" s="530">
        <v>8.8000000000000007</v>
      </c>
      <c r="G33" s="133"/>
      <c r="H33" s="133"/>
      <c r="I33" s="110"/>
      <c r="J33" s="112"/>
      <c r="K33" s="118"/>
      <c r="L33" s="112"/>
      <c r="M33" s="112"/>
      <c r="N33" s="112"/>
      <c r="O33" s="112"/>
    </row>
    <row r="34" spans="2:19" ht="15" customHeight="1">
      <c r="B34" s="462" t="s">
        <v>201</v>
      </c>
      <c r="C34" s="512">
        <f>'BW2-Field Act. Labor &amp; Mach.'!$I$28*3</f>
        <v>31.66104</v>
      </c>
      <c r="D34" s="520">
        <f>'BW2-Field Act. Labor &amp; Mach.'!K28*3</f>
        <v>13.069827471322013</v>
      </c>
      <c r="E34" s="520">
        <f>'BW2-Field Act. Labor &amp; Mach.'!L28*3</f>
        <v>34.652202498356345</v>
      </c>
      <c r="F34" s="526"/>
      <c r="G34" s="133"/>
      <c r="H34" s="463"/>
      <c r="I34" s="115"/>
      <c r="J34" s="112"/>
      <c r="K34" s="118"/>
      <c r="L34" s="112"/>
      <c r="M34" s="112"/>
      <c r="N34" s="112"/>
      <c r="O34" s="112"/>
    </row>
    <row r="35" spans="2:19" ht="15" customHeight="1">
      <c r="B35" s="462" t="s">
        <v>199</v>
      </c>
      <c r="C35" s="512">
        <f>'BW2-Field Act. Labor &amp; Mach.'!I34*3</f>
        <v>296.82225</v>
      </c>
      <c r="D35" s="520"/>
      <c r="E35" s="520"/>
      <c r="F35" s="526"/>
      <c r="G35" s="133"/>
      <c r="H35" s="463"/>
      <c r="I35" s="110"/>
      <c r="J35" s="112"/>
      <c r="K35" s="112"/>
      <c r="L35" s="113"/>
      <c r="M35" s="113"/>
      <c r="N35" s="113"/>
      <c r="O35" s="113"/>
      <c r="P35" s="109"/>
    </row>
    <row r="36" spans="2:19" ht="15" customHeight="1">
      <c r="B36" s="462" t="s">
        <v>180</v>
      </c>
      <c r="C36" s="512">
        <f>'BW2-Field Act. Labor &amp; Mach.'!$I$29*2</f>
        <v>63.32208</v>
      </c>
      <c r="D36" s="520">
        <f>'BW2-Field Act. Labor &amp; Mach.'!K29*2</f>
        <v>18.849340278005133</v>
      </c>
      <c r="E36" s="520">
        <f>'BW2-Field Act. Labor &amp; Mach.'!L29*2</f>
        <v>51.654848024316109</v>
      </c>
      <c r="F36" s="526"/>
      <c r="G36" s="133"/>
      <c r="H36" s="463"/>
      <c r="I36" s="115"/>
      <c r="J36" s="112"/>
      <c r="K36" s="118"/>
      <c r="L36" s="112"/>
      <c r="M36" s="112"/>
      <c r="N36" s="112"/>
      <c r="O36" s="112"/>
    </row>
    <row r="37" spans="2:19" ht="15" customHeight="1">
      <c r="B37" s="462" t="s">
        <v>326</v>
      </c>
      <c r="C37" s="512">
        <f>'BW2-Field Act. Labor &amp; Mach.'!I37*3</f>
        <v>39.576300000000003</v>
      </c>
      <c r="D37" s="520">
        <f>'BW2-Field Act. Labor &amp; Mach.'!K37*3</f>
        <v>30.546664935780097</v>
      </c>
      <c r="E37" s="520">
        <f>'BW2-Field Act. Labor &amp; Mach.'!L37*3</f>
        <v>39.314799296778247</v>
      </c>
      <c r="F37" s="526"/>
      <c r="G37" s="133"/>
      <c r="H37" s="463"/>
      <c r="I37" s="115"/>
      <c r="J37" s="112"/>
      <c r="K37" s="118"/>
      <c r="L37" s="112"/>
      <c r="M37" s="112"/>
      <c r="N37" s="112"/>
      <c r="O37" s="112"/>
    </row>
    <row r="38" spans="2:19" ht="15" customHeight="1">
      <c r="B38" s="419" t="s">
        <v>501</v>
      </c>
      <c r="C38" s="513"/>
      <c r="D38" s="521"/>
      <c r="E38" s="521"/>
      <c r="F38" s="527">
        <f>'BW3-Variable Input'!C60</f>
        <v>50.644084615384614</v>
      </c>
      <c r="G38" s="489"/>
      <c r="H38" s="541"/>
      <c r="I38" s="228"/>
      <c r="J38" s="228"/>
      <c r="K38"/>
      <c r="L38"/>
      <c r="M38"/>
      <c r="N38"/>
      <c r="O38"/>
      <c r="P38"/>
      <c r="Q38"/>
      <c r="R38"/>
      <c r="S38"/>
    </row>
    <row r="39" spans="2:19" s="453" customFormat="1" ht="15" customHeight="1">
      <c r="B39" s="824" t="s">
        <v>508</v>
      </c>
      <c r="C39" s="444">
        <f>SUM(C12:C19, C22:C25,C28:C38)</f>
        <v>1524.0304070958555</v>
      </c>
      <c r="D39" s="444">
        <f>SUM(D12:D19, D22:D25,D28:D38)</f>
        <v>176.77489961575566</v>
      </c>
      <c r="E39" s="444">
        <f>SUM(E12:E19, E22:E25,E28:E38)</f>
        <v>420.97951203011621</v>
      </c>
      <c r="F39" s="444">
        <f>SUM(F12:F19, F22:F25,F28:F38)</f>
        <v>798.92492125888737</v>
      </c>
      <c r="G39" s="445" t="s">
        <v>4</v>
      </c>
      <c r="H39" s="446">
        <f>SUM(C39:F39)</f>
        <v>2920.7097400006151</v>
      </c>
      <c r="I39" s="117"/>
      <c r="J39" s="476"/>
      <c r="K39" s="476"/>
      <c r="L39" s="477"/>
      <c r="M39" s="477"/>
      <c r="N39" s="477"/>
      <c r="O39" s="477"/>
      <c r="P39" s="475"/>
    </row>
    <row r="40" spans="2:19" s="120" customFormat="1" ht="15" customHeight="1">
      <c r="B40" s="593"/>
      <c r="C40" s="133"/>
      <c r="D40" s="133"/>
      <c r="E40" s="133"/>
      <c r="F40" s="133"/>
      <c r="G40" s="924"/>
      <c r="H40" s="265"/>
    </row>
    <row r="41" spans="2:19" s="119" customFormat="1" ht="15" customHeight="1">
      <c r="B41" s="116" t="s">
        <v>914</v>
      </c>
      <c r="C41" s="133"/>
      <c r="D41" s="133"/>
      <c r="E41" s="133"/>
      <c r="F41" s="133"/>
      <c r="G41" s="924"/>
      <c r="H41" s="265"/>
      <c r="I41" s="120"/>
    </row>
    <row r="42" spans="2:19" ht="15" customHeight="1">
      <c r="B42" s="921" t="s">
        <v>3</v>
      </c>
      <c r="C42" s="514"/>
      <c r="D42" s="522"/>
      <c r="E42" s="522"/>
      <c r="F42" s="528"/>
      <c r="G42" s="983"/>
      <c r="H42" s="491"/>
      <c r="I42" s="109"/>
      <c r="J42" s="118"/>
      <c r="K42" s="112"/>
      <c r="L42" s="111"/>
      <c r="M42" s="111"/>
      <c r="N42" s="111"/>
      <c r="O42" s="111"/>
      <c r="P42" s="109"/>
    </row>
    <row r="43" spans="2:19" ht="15" customHeight="1">
      <c r="B43" s="132" t="s">
        <v>202</v>
      </c>
      <c r="C43" s="512">
        <f>'BW6-Harvest and Wash-Pack'!D27+'BW2-Field Act. Labor &amp; Mach.'!I54</f>
        <v>666.20105000000001</v>
      </c>
      <c r="D43" s="520">
        <f>'BW2-Field Act. Labor &amp; Mach.'!K54</f>
        <v>0.13284863512476036</v>
      </c>
      <c r="E43" s="520">
        <f>'BW2-Field Act. Labor &amp; Mach.'!L54</f>
        <v>0.73508522727272718</v>
      </c>
      <c r="F43" s="526"/>
      <c r="G43" s="1029" t="s">
        <v>852</v>
      </c>
      <c r="H43" s="265"/>
      <c r="I43" s="109"/>
      <c r="J43" s="118"/>
      <c r="K43" s="112"/>
      <c r="L43" s="113"/>
      <c r="M43" s="113"/>
      <c r="N43" s="113"/>
      <c r="O43" s="113"/>
      <c r="P43" s="109"/>
    </row>
    <row r="44" spans="2:19" ht="15" customHeight="1">
      <c r="B44" s="416" t="s">
        <v>364</v>
      </c>
      <c r="C44" s="513">
        <f>'BW6-Harvest and Wash-Pack'!F27</f>
        <v>1055.3679999999999</v>
      </c>
      <c r="D44" s="521"/>
      <c r="E44" s="521"/>
      <c r="F44" s="527"/>
      <c r="G44" s="1030" t="s">
        <v>852</v>
      </c>
      <c r="H44" s="492"/>
      <c r="I44" s="109"/>
      <c r="J44" s="118"/>
      <c r="K44" s="112"/>
      <c r="L44" s="113"/>
      <c r="M44" s="113"/>
      <c r="N44" s="113"/>
      <c r="O44" s="113"/>
      <c r="P44" s="109"/>
    </row>
    <row r="45" spans="2:19" s="453" customFormat="1" ht="15" customHeight="1">
      <c r="B45" s="824" t="s">
        <v>508</v>
      </c>
      <c r="C45" s="444">
        <f>SUM(C43:C44)</f>
        <v>1721.5690500000001</v>
      </c>
      <c r="D45" s="444">
        <f>SUM(D43:D44)</f>
        <v>0.13284863512476036</v>
      </c>
      <c r="E45" s="444">
        <f>SUM(E43:E44)</f>
        <v>0.73508522727272718</v>
      </c>
      <c r="F45" s="444">
        <f>SUM(F43:F44)</f>
        <v>0</v>
      </c>
      <c r="G45" s="445" t="s">
        <v>4</v>
      </c>
      <c r="H45" s="446">
        <f>SUM(C45:F45)</f>
        <v>1722.4369838623975</v>
      </c>
      <c r="I45" s="117"/>
      <c r="J45" s="476"/>
      <c r="K45" s="476"/>
      <c r="L45" s="477"/>
      <c r="M45" s="477"/>
      <c r="N45" s="477"/>
      <c r="O45" s="477"/>
      <c r="P45" s="475"/>
    </row>
    <row r="46" spans="2:19" s="120" customFormat="1" ht="15" customHeight="1">
      <c r="B46" s="593"/>
      <c r="C46" s="133"/>
      <c r="D46" s="133"/>
      <c r="E46" s="133"/>
      <c r="F46" s="133"/>
      <c r="G46" s="924"/>
      <c r="H46" s="265"/>
    </row>
    <row r="47" spans="2:19" s="119" customFormat="1" ht="15" customHeight="1">
      <c r="B47" s="116" t="s">
        <v>662</v>
      </c>
      <c r="C47" s="133"/>
      <c r="D47" s="133"/>
      <c r="E47" s="133"/>
      <c r="F47" s="133"/>
      <c r="G47" s="924"/>
      <c r="H47" s="265"/>
    </row>
    <row r="48" spans="2:19" ht="15" customHeight="1">
      <c r="B48" s="921" t="s">
        <v>663</v>
      </c>
      <c r="C48" s="515"/>
      <c r="D48" s="438"/>
      <c r="E48" s="438"/>
      <c r="F48" s="529"/>
      <c r="G48" s="494"/>
      <c r="H48" s="494"/>
      <c r="I48" s="110"/>
      <c r="J48" s="112"/>
      <c r="K48" s="112"/>
      <c r="L48" s="113"/>
      <c r="M48" s="113"/>
      <c r="N48" s="113"/>
      <c r="O48" s="113"/>
      <c r="P48" s="109"/>
    </row>
    <row r="49" spans="2:16" ht="15" customHeight="1">
      <c r="B49" s="462" t="s">
        <v>43</v>
      </c>
      <c r="C49" s="512">
        <f>'BW2-Field Act. Labor &amp; Mach.'!$I$66</f>
        <v>5.27684</v>
      </c>
      <c r="D49" s="520">
        <f>'BW2-Field Act. Labor &amp; Mach.'!K66</f>
        <v>4.7393418269465482</v>
      </c>
      <c r="E49" s="520">
        <f>'BW2-Field Act. Labor &amp; Mach.'!L66</f>
        <v>4.8215303303156709</v>
      </c>
      <c r="F49" s="526"/>
      <c r="G49" s="463"/>
      <c r="H49" s="463"/>
      <c r="I49" s="115"/>
      <c r="J49" s="118"/>
      <c r="K49" s="112"/>
      <c r="L49" s="113"/>
      <c r="M49" s="113"/>
      <c r="N49" s="113"/>
      <c r="O49" s="113"/>
      <c r="P49" s="109"/>
    </row>
    <row r="50" spans="2:16" ht="15" customHeight="1">
      <c r="B50" s="132" t="s">
        <v>150</v>
      </c>
      <c r="C50" s="512">
        <f>'BW2-Field Act. Labor &amp; Mach.'!$I$65</f>
        <v>42.21472</v>
      </c>
      <c r="D50" s="520">
        <f>'BW2-Field Act. Labor &amp; Mach.'!K65</f>
        <v>3.4075700159999998</v>
      </c>
      <c r="E50" s="520">
        <f>'BW2-Field Act. Labor &amp; Mach.'!L65</f>
        <v>2.89283314099518</v>
      </c>
      <c r="F50" s="526"/>
      <c r="G50" s="463"/>
      <c r="H50" s="463"/>
      <c r="I50" s="110"/>
      <c r="J50" s="118"/>
      <c r="K50" s="112"/>
      <c r="L50" s="113"/>
      <c r="M50" s="113"/>
      <c r="N50" s="113"/>
      <c r="O50" s="113"/>
      <c r="P50" s="109"/>
    </row>
    <row r="51" spans="2:16" ht="15" customHeight="1">
      <c r="B51" s="462" t="s">
        <v>44</v>
      </c>
      <c r="C51" s="512">
        <f>'BW2-Field Act. Labor &amp; Mach.'!$I$67</f>
        <v>5.27684</v>
      </c>
      <c r="D51" s="520">
        <f>'BW2-Field Act. Labor &amp; Mach.'!K67</f>
        <v>4.5754035882945541</v>
      </c>
      <c r="E51" s="520">
        <f>'BW2-Field Act. Labor &amp; Mach.'!L67</f>
        <v>8.7882358546602415</v>
      </c>
      <c r="F51" s="526"/>
      <c r="G51" s="463"/>
      <c r="H51" s="463"/>
      <c r="I51" s="110"/>
      <c r="J51" s="112"/>
      <c r="K51" s="112"/>
      <c r="L51" s="113"/>
      <c r="M51" s="113"/>
      <c r="N51" s="113"/>
      <c r="O51" s="113"/>
      <c r="P51" s="109"/>
    </row>
    <row r="52" spans="2:16" ht="15" customHeight="1">
      <c r="B52" s="462" t="s">
        <v>45</v>
      </c>
      <c r="C52" s="512">
        <f>'BW2-Field Act. Labor &amp; Mach.'!$I$69</f>
        <v>14.511310000000002</v>
      </c>
      <c r="D52" s="520">
        <f>'BW2-Field Act. Labor &amp; Mach.'!K69</f>
        <v>5.9046727740142977</v>
      </c>
      <c r="E52" s="520">
        <f>'BW2-Field Act. Labor &amp; Mach.'!L69</f>
        <v>8.041581086300118</v>
      </c>
      <c r="F52" s="526"/>
      <c r="G52" s="463"/>
      <c r="H52" s="463"/>
      <c r="I52" s="110"/>
      <c r="J52" s="112"/>
      <c r="K52" s="112"/>
      <c r="L52" s="113"/>
      <c r="M52" s="113"/>
      <c r="N52" s="113"/>
      <c r="O52" s="113"/>
      <c r="P52" s="109"/>
    </row>
    <row r="53" spans="2:16" ht="15" customHeight="1">
      <c r="B53" s="500" t="str">
        <f>'BW3-Variable Input'!$B$33</f>
        <v>Winter cover crop seed</v>
      </c>
      <c r="C53" s="513"/>
      <c r="D53" s="521"/>
      <c r="E53" s="521"/>
      <c r="F53" s="527">
        <f>'BW3-Variable Input'!$C$33</f>
        <v>31.793452380952385</v>
      </c>
      <c r="G53" s="485"/>
      <c r="H53" s="485"/>
      <c r="I53" s="110"/>
      <c r="J53" s="112"/>
      <c r="K53" s="112"/>
      <c r="L53" s="113"/>
      <c r="M53" s="113"/>
      <c r="N53" s="113"/>
      <c r="O53" s="113"/>
      <c r="P53" s="109"/>
    </row>
    <row r="54" spans="2:16" s="453" customFormat="1" ht="15" customHeight="1">
      <c r="B54" s="824" t="s">
        <v>508</v>
      </c>
      <c r="C54" s="444">
        <f>SUM(C49:C53)</f>
        <v>67.279709999999994</v>
      </c>
      <c r="D54" s="444">
        <f>SUM(D49:D53)</f>
        <v>18.626988205255401</v>
      </c>
      <c r="E54" s="444">
        <f>SUM(E49:E53)</f>
        <v>24.54418041227121</v>
      </c>
      <c r="F54" s="444">
        <f>SUM(F49:F53)</f>
        <v>31.793452380952385</v>
      </c>
      <c r="G54" s="447" t="s">
        <v>4</v>
      </c>
      <c r="H54" s="446">
        <f>SUM(C54:F54)</f>
        <v>142.24433099847897</v>
      </c>
      <c r="I54" s="117"/>
      <c r="J54" s="476"/>
      <c r="K54" s="476"/>
      <c r="L54" s="478"/>
      <c r="M54" s="478"/>
      <c r="N54" s="478"/>
      <c r="O54" s="478"/>
      <c r="P54" s="475"/>
    </row>
    <row r="55" spans="2:16" s="120" customFormat="1" ht="15" customHeight="1">
      <c r="B55" s="593"/>
      <c r="C55" s="133"/>
      <c r="D55" s="133"/>
      <c r="E55" s="133"/>
      <c r="F55" s="133"/>
      <c r="G55" s="463"/>
      <c r="H55" s="463"/>
      <c r="I55" s="115"/>
      <c r="J55" s="825"/>
      <c r="K55" s="127"/>
      <c r="L55" s="113"/>
      <c r="M55" s="113"/>
      <c r="N55" s="113"/>
      <c r="O55" s="113"/>
    </row>
    <row r="56" spans="2:16" s="453" customFormat="1" ht="15" customHeight="1">
      <c r="B56" s="116" t="s">
        <v>515</v>
      </c>
      <c r="C56" s="444">
        <f>C39+C45+C54</f>
        <v>3312.8791670958553</v>
      </c>
      <c r="D56" s="444">
        <f>D39+D45+D54</f>
        <v>195.53473645613582</v>
      </c>
      <c r="E56" s="444">
        <f>E39+E45+E54</f>
        <v>446.25877766966016</v>
      </c>
      <c r="F56" s="444">
        <f>F39+F45+F54</f>
        <v>830.7183736398398</v>
      </c>
      <c r="G56" s="447" t="s">
        <v>4</v>
      </c>
      <c r="H56" s="446">
        <f>SUM(C56:F56)</f>
        <v>4785.3910548614913</v>
      </c>
      <c r="I56" s="117"/>
      <c r="J56" s="476"/>
      <c r="K56" s="476"/>
      <c r="L56" s="478"/>
      <c r="M56" s="478"/>
      <c r="N56" s="478"/>
      <c r="O56" s="478"/>
      <c r="P56" s="475"/>
    </row>
    <row r="57" spans="2:16" ht="15" customHeight="1">
      <c r="B57" s="114"/>
      <c r="C57" s="133"/>
      <c r="D57" s="133"/>
      <c r="E57" s="133"/>
      <c r="F57" s="133"/>
      <c r="G57" s="463"/>
      <c r="H57" s="463"/>
      <c r="I57" s="110"/>
      <c r="J57" s="112"/>
      <c r="K57" s="112"/>
      <c r="L57" s="113"/>
      <c r="M57" s="113"/>
      <c r="N57" s="113"/>
      <c r="O57" s="113"/>
      <c r="P57" s="109"/>
    </row>
    <row r="58" spans="2:16">
      <c r="B58" s="1032"/>
      <c r="C58" s="1033"/>
      <c r="D58" s="1033"/>
      <c r="E58" s="1033"/>
      <c r="F58" s="1033"/>
      <c r="G58" s="1033"/>
      <c r="H58" s="1033"/>
    </row>
    <row r="59" spans="2:16">
      <c r="B59" s="916"/>
      <c r="C59" s="916"/>
      <c r="D59" s="916"/>
      <c r="E59" s="916"/>
      <c r="F59" s="916"/>
      <c r="G59" s="916"/>
      <c r="H59" s="916"/>
    </row>
    <row r="60" spans="2:16">
      <c r="B60" s="116" t="s">
        <v>664</v>
      </c>
      <c r="C60" s="916"/>
      <c r="D60" s="916"/>
      <c r="E60" s="916"/>
      <c r="F60" s="916"/>
      <c r="G60" s="916"/>
      <c r="H60" s="916"/>
    </row>
    <row r="61" spans="2:16">
      <c r="B61" s="985" t="s">
        <v>668</v>
      </c>
      <c r="C61" s="916"/>
      <c r="D61" s="916"/>
      <c r="E61" s="916"/>
      <c r="F61" s="916"/>
      <c r="G61" s="916"/>
      <c r="H61" s="986">
        <f>C39+C54</f>
        <v>1591.3101170958555</v>
      </c>
    </row>
    <row r="62" spans="2:16">
      <c r="B62" s="135" t="s">
        <v>667</v>
      </c>
      <c r="C62" s="916"/>
      <c r="D62" s="916"/>
      <c r="E62" s="916"/>
      <c r="F62" s="916"/>
      <c r="G62" s="916"/>
      <c r="H62" s="986">
        <f>D39+D54</f>
        <v>195.40188782101106</v>
      </c>
    </row>
    <row r="63" spans="2:16" ht="15" customHeight="1">
      <c r="B63" s="985" t="s">
        <v>669</v>
      </c>
      <c r="C63" s="469"/>
      <c r="D63" s="133"/>
      <c r="E63" s="444"/>
      <c r="F63" s="464"/>
      <c r="G63" s="442"/>
      <c r="H63" s="463">
        <f>F39+F54</f>
        <v>830.7183736398398</v>
      </c>
      <c r="I63" s="118"/>
      <c r="J63" s="112"/>
      <c r="K63" s="113"/>
      <c r="L63" s="113"/>
      <c r="M63" s="113"/>
      <c r="N63" s="113"/>
      <c r="O63" s="109"/>
    </row>
    <row r="64" spans="2:16" ht="15" customHeight="1">
      <c r="B64" s="831" t="s">
        <v>666</v>
      </c>
      <c r="C64" s="469"/>
      <c r="D64" s="469"/>
      <c r="E64" s="592"/>
      <c r="F64" s="464"/>
      <c r="G64" s="442"/>
      <c r="H64" s="848">
        <f>SUM(H61:H63)</f>
        <v>2617.4303785567063</v>
      </c>
      <c r="I64" s="112"/>
      <c r="J64" s="112"/>
      <c r="K64" s="113"/>
      <c r="L64" s="113"/>
      <c r="M64" s="113"/>
      <c r="N64" s="113"/>
      <c r="O64" s="109"/>
    </row>
    <row r="65" spans="2:17" ht="15" customHeight="1">
      <c r="B65" s="985" t="s">
        <v>680</v>
      </c>
      <c r="C65" s="469"/>
      <c r="D65" s="469"/>
      <c r="E65" s="469"/>
      <c r="F65" s="132"/>
      <c r="G65" s="442"/>
      <c r="H65" s="463">
        <f>C45</f>
        <v>1721.5690500000001</v>
      </c>
      <c r="I65" s="112"/>
      <c r="J65" s="112"/>
      <c r="K65" s="113"/>
      <c r="L65" s="113"/>
      <c r="M65" s="113"/>
      <c r="N65" s="113"/>
      <c r="O65" s="109"/>
    </row>
    <row r="66" spans="2:17" ht="15" customHeight="1">
      <c r="B66" s="985" t="s">
        <v>445</v>
      </c>
      <c r="C66" s="469"/>
      <c r="D66" s="469"/>
      <c r="E66" s="469"/>
      <c r="F66" s="132"/>
      <c r="G66" s="442"/>
      <c r="H66" s="463">
        <f>D45</f>
        <v>0.13284863512476036</v>
      </c>
      <c r="I66" s="112"/>
      <c r="J66" s="112"/>
      <c r="K66" s="113"/>
      <c r="L66" s="113"/>
      <c r="M66" s="113"/>
      <c r="N66" s="113"/>
      <c r="O66" s="109"/>
    </row>
    <row r="67" spans="2:17" ht="15" customHeight="1">
      <c r="B67" s="985" t="s">
        <v>670</v>
      </c>
      <c r="C67" s="469"/>
      <c r="D67" s="444"/>
      <c r="E67" s="469"/>
      <c r="F67" s="132"/>
      <c r="G67" s="132"/>
      <c r="H67" s="463">
        <f>F45</f>
        <v>0</v>
      </c>
      <c r="I67" s="112"/>
      <c r="J67" s="112"/>
      <c r="K67" s="113"/>
      <c r="L67" s="113"/>
      <c r="M67" s="113"/>
      <c r="N67" s="113"/>
      <c r="O67" s="109"/>
    </row>
    <row r="68" spans="2:17" ht="15" customHeight="1">
      <c r="B68" s="831" t="s">
        <v>671</v>
      </c>
      <c r="C68" s="43"/>
      <c r="D68" s="43"/>
      <c r="E68" s="832"/>
      <c r="F68" s="43"/>
      <c r="G68" s="43"/>
      <c r="H68" s="598">
        <f>SUM(H65:H67)</f>
        <v>1721.7018986351247</v>
      </c>
      <c r="I68" s="112"/>
      <c r="J68" s="112"/>
      <c r="K68" s="113"/>
      <c r="L68" s="113"/>
      <c r="M68" s="113"/>
      <c r="N68" s="113"/>
      <c r="O68" s="109"/>
    </row>
    <row r="69" spans="2:17" ht="15" customHeight="1">
      <c r="B69" s="833" t="s">
        <v>513</v>
      </c>
      <c r="C69" s="919"/>
      <c r="D69" s="919"/>
      <c r="E69" s="987"/>
      <c r="F69" s="988"/>
      <c r="G69" s="919"/>
      <c r="H69" s="818">
        <f>H64+H68</f>
        <v>4339.1322771918312</v>
      </c>
      <c r="I69" s="112"/>
      <c r="J69" s="112"/>
      <c r="K69" s="113"/>
      <c r="L69" s="113"/>
      <c r="M69" s="113"/>
      <c r="N69" s="113"/>
      <c r="O69" s="109"/>
    </row>
    <row r="70" spans="2:17" ht="15" customHeight="1">
      <c r="B70" s="985" t="s">
        <v>672</v>
      </c>
      <c r="C70" s="135"/>
      <c r="D70" s="135"/>
      <c r="E70" s="472"/>
      <c r="F70" s="135"/>
      <c r="G70" s="135"/>
      <c r="H70" s="989">
        <f>E39+E54</f>
        <v>445.52369244238741</v>
      </c>
      <c r="I70" s="112"/>
      <c r="J70" s="112"/>
      <c r="K70" s="113"/>
      <c r="L70" s="113"/>
      <c r="M70" s="113"/>
      <c r="N70" s="113"/>
      <c r="O70" s="109"/>
    </row>
    <row r="71" spans="2:17" ht="15" customHeight="1">
      <c r="B71" s="985" t="s">
        <v>673</v>
      </c>
      <c r="C71" s="135"/>
      <c r="D71" s="135"/>
      <c r="E71" s="472"/>
      <c r="F71" s="135"/>
      <c r="G71" s="135"/>
      <c r="H71" s="990">
        <f>E45</f>
        <v>0.73508522727272718</v>
      </c>
      <c r="I71" s="112"/>
      <c r="J71" s="112"/>
      <c r="K71" s="113"/>
      <c r="L71" s="113"/>
      <c r="M71" s="113"/>
      <c r="N71" s="113"/>
      <c r="O71" s="109"/>
    </row>
    <row r="72" spans="2:17" ht="15" customHeight="1">
      <c r="B72" s="837" t="s">
        <v>514</v>
      </c>
      <c r="C72" s="919"/>
      <c r="D72" s="919"/>
      <c r="E72" s="987"/>
      <c r="F72" s="988"/>
      <c r="G72" s="919"/>
      <c r="H72" s="819">
        <f>H70+H71</f>
        <v>446.25877766966016</v>
      </c>
      <c r="I72" s="112"/>
      <c r="J72" s="112"/>
      <c r="K72" s="113"/>
      <c r="L72" s="113"/>
      <c r="M72" s="113"/>
      <c r="N72" s="113"/>
      <c r="O72" s="109"/>
    </row>
    <row r="73" spans="2:17" ht="15" customHeight="1">
      <c r="B73" s="264"/>
      <c r="C73" s="469"/>
      <c r="D73" s="242"/>
      <c r="E73" s="469"/>
      <c r="F73" s="132"/>
      <c r="G73" s="132"/>
      <c r="H73" s="442"/>
      <c r="I73" s="112"/>
      <c r="J73" s="112"/>
      <c r="K73" s="113"/>
      <c r="L73" s="113"/>
      <c r="M73" s="113"/>
      <c r="N73" s="113"/>
      <c r="O73" s="109"/>
    </row>
    <row r="74" spans="2:17">
      <c r="B74" s="132"/>
      <c r="C74" s="469"/>
      <c r="D74" s="469"/>
      <c r="E74" s="469"/>
      <c r="F74" s="132"/>
      <c r="G74" s="442"/>
      <c r="H74" s="442"/>
      <c r="I74" s="112"/>
      <c r="J74" s="112"/>
      <c r="K74" s="111"/>
      <c r="L74" s="111"/>
      <c r="M74" s="111"/>
      <c r="N74" s="111"/>
      <c r="O74" s="109"/>
    </row>
    <row r="75" spans="2:17">
      <c r="B75" s="132"/>
      <c r="C75" s="132"/>
      <c r="D75" s="132"/>
      <c r="E75" s="132"/>
      <c r="F75" s="132"/>
      <c r="G75" s="132"/>
      <c r="H75" s="442"/>
      <c r="I75" s="110"/>
      <c r="J75" s="112"/>
      <c r="K75" s="112"/>
      <c r="L75" s="111"/>
      <c r="M75" s="111"/>
      <c r="N75" s="111"/>
      <c r="O75" s="111"/>
      <c r="P75" s="109"/>
    </row>
    <row r="76" spans="2:17">
      <c r="B76" s="132"/>
      <c r="C76" s="133"/>
      <c r="D76" s="133"/>
      <c r="E76" s="133"/>
      <c r="F76" s="133"/>
      <c r="H76" s="243"/>
      <c r="I76" s="110"/>
      <c r="L76" s="109"/>
      <c r="M76" s="109"/>
      <c r="N76" s="109"/>
      <c r="O76" s="109"/>
      <c r="P76" s="109"/>
    </row>
    <row r="77" spans="2:17">
      <c r="B77" s="132"/>
      <c r="C77" s="132"/>
      <c r="D77" s="265"/>
      <c r="E77" s="132"/>
      <c r="F77" s="132"/>
      <c r="G77" s="132"/>
      <c r="H77" s="132"/>
      <c r="I77" s="109"/>
      <c r="J77" s="110"/>
      <c r="M77" s="109"/>
      <c r="N77" s="109"/>
      <c r="O77" s="109"/>
      <c r="P77" s="109"/>
      <c r="Q77"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83"/>
  <sheetViews>
    <sheetView showGridLines="0" view="pageLayout" topLeftCell="A29" workbookViewId="0">
      <selection activeCell="B45" sqref="B45"/>
    </sheetView>
  </sheetViews>
  <sheetFormatPr baseColWidth="10" defaultColWidth="8.7109375" defaultRowHeight="15" x14ac:dyDescent="0"/>
  <cols>
    <col min="1" max="1" width="1" customWidth="1"/>
    <col min="2" max="2" width="43.42578125" customWidth="1"/>
    <col min="3" max="6" width="17.85546875" customWidth="1"/>
    <col min="7" max="7" width="9" customWidth="1"/>
    <col min="8" max="8" width="16.7109375" customWidth="1"/>
    <col min="9" max="9" width="6.85546875" customWidth="1"/>
    <col min="10" max="10" width="14.42578125" customWidth="1"/>
    <col min="13" max="13" width="12.42578125" customWidth="1"/>
    <col min="17" max="17" width="11.5703125" customWidth="1"/>
  </cols>
  <sheetData>
    <row r="1" spans="2:17" ht="16" thickBot="1">
      <c r="F1" s="563"/>
      <c r="G1" s="1263" t="s">
        <v>512</v>
      </c>
      <c r="H1" s="1264"/>
    </row>
    <row r="2" spans="2:17" ht="25" customHeight="1">
      <c r="B2" s="1024" t="str">
        <f>'Workbook Index'!B46</f>
        <v>Peppers</v>
      </c>
      <c r="C2" s="221"/>
      <c r="D2" s="221"/>
      <c r="E2" s="221"/>
      <c r="I2" s="120"/>
      <c r="J2" s="109"/>
      <c r="K2" s="109"/>
      <c r="L2" s="109"/>
    </row>
    <row r="3" spans="2:17" ht="33.5" customHeight="1">
      <c r="B3" s="1027" t="s">
        <v>716</v>
      </c>
      <c r="C3" s="132" t="s">
        <v>367</v>
      </c>
      <c r="E3" s="222" t="s">
        <v>14</v>
      </c>
      <c r="I3" s="226"/>
      <c r="J3" s="109"/>
      <c r="K3" s="117"/>
      <c r="L3" s="129"/>
      <c r="M3" s="6"/>
      <c r="N3" s="6"/>
      <c r="O3" s="6"/>
      <c r="P3" s="6"/>
      <c r="Q3" s="6"/>
    </row>
    <row r="4" spans="2:17">
      <c r="B4" s="918"/>
      <c r="C4" s="132" t="s">
        <v>47</v>
      </c>
      <c r="D4" s="135"/>
      <c r="E4" s="1068">
        <f>'BW1-Bed and Row Spacing'!J28</f>
        <v>4148.5714285714284</v>
      </c>
      <c r="F4" s="135"/>
      <c r="G4" s="135"/>
      <c r="H4" s="135"/>
      <c r="I4" s="226"/>
      <c r="J4" s="109"/>
      <c r="K4" s="110"/>
      <c r="L4" s="111"/>
      <c r="M4" s="6"/>
      <c r="N4" s="6"/>
      <c r="O4" s="6"/>
      <c r="P4" s="6"/>
      <c r="Q4" s="6"/>
    </row>
    <row r="5" spans="2:17">
      <c r="B5" s="915"/>
      <c r="C5" s="132" t="s">
        <v>366</v>
      </c>
      <c r="D5" s="135"/>
      <c r="E5" s="1340" t="s">
        <v>833</v>
      </c>
      <c r="F5" s="1340"/>
      <c r="G5" s="1340"/>
      <c r="H5" s="1340"/>
      <c r="I5" s="225"/>
      <c r="J5" s="127"/>
      <c r="K5" s="110"/>
      <c r="L5" s="111"/>
      <c r="M5" s="6"/>
      <c r="N5" s="6"/>
      <c r="O5" s="6"/>
      <c r="P5" s="6"/>
      <c r="Q5" s="6"/>
    </row>
    <row r="6" spans="2:17">
      <c r="B6" s="223"/>
      <c r="C6" s="915"/>
      <c r="D6" s="135"/>
      <c r="E6" s="1340"/>
      <c r="F6" s="1340"/>
      <c r="G6" s="1340"/>
      <c r="H6" s="1340"/>
      <c r="I6" s="225"/>
      <c r="J6" s="112"/>
      <c r="K6" s="112"/>
      <c r="L6" s="112"/>
      <c r="M6" s="6"/>
      <c r="N6" s="6"/>
    </row>
    <row r="7" spans="2:17" s="108" customFormat="1">
      <c r="B7" s="1032"/>
      <c r="C7" s="1033"/>
      <c r="D7" s="1033"/>
      <c r="E7" s="1033"/>
      <c r="F7" s="1033"/>
      <c r="G7" s="1033"/>
      <c r="H7" s="1033"/>
    </row>
    <row r="8" spans="2:17" s="108" customFormat="1">
      <c r="B8" s="553" t="s">
        <v>517</v>
      </c>
      <c r="C8" s="492"/>
      <c r="D8" s="492"/>
      <c r="E8" s="492"/>
      <c r="F8" s="492"/>
      <c r="G8" s="492"/>
      <c r="H8" s="492"/>
    </row>
    <row r="9" spans="2:17" ht="33" customHeight="1">
      <c r="B9" s="420" t="s">
        <v>711</v>
      </c>
      <c r="C9" s="421" t="s">
        <v>707</v>
      </c>
      <c r="D9" s="421" t="s">
        <v>708</v>
      </c>
      <c r="E9" s="421" t="s">
        <v>709</v>
      </c>
      <c r="F9" s="421" t="s">
        <v>710</v>
      </c>
      <c r="G9" s="919"/>
      <c r="H9" s="920"/>
      <c r="M9" s="112"/>
      <c r="N9" s="112"/>
      <c r="O9" s="112"/>
      <c r="P9" s="6"/>
      <c r="Q9" s="6"/>
    </row>
    <row r="10" spans="2:17" ht="30">
      <c r="B10" s="993" t="s">
        <v>516</v>
      </c>
      <c r="C10" s="991" t="s">
        <v>849</v>
      </c>
      <c r="D10" s="991" t="s">
        <v>849</v>
      </c>
      <c r="E10" s="991" t="s">
        <v>849</v>
      </c>
      <c r="F10" s="991" t="s">
        <v>850</v>
      </c>
      <c r="G10" s="992"/>
      <c r="H10" s="462"/>
      <c r="M10" s="112"/>
      <c r="N10" s="112"/>
      <c r="O10" s="6"/>
      <c r="P10" s="6"/>
    </row>
    <row r="11" spans="2:17" ht="15" customHeight="1">
      <c r="B11" s="922" t="s">
        <v>181</v>
      </c>
      <c r="C11" s="999"/>
      <c r="D11" s="1000"/>
      <c r="E11" s="1000"/>
      <c r="F11" s="1001"/>
      <c r="G11" s="509"/>
      <c r="H11" s="509"/>
      <c r="I11" s="112"/>
      <c r="J11" s="112"/>
      <c r="K11" s="112"/>
      <c r="L11" s="112"/>
      <c r="M11" s="6"/>
    </row>
    <row r="12" spans="2:17">
      <c r="B12" s="265" t="s">
        <v>145</v>
      </c>
      <c r="C12" s="512">
        <f>'BW2-Field Act. Labor &amp; Mach.'!I9</f>
        <v>9.23447</v>
      </c>
      <c r="D12" s="520">
        <f>'BW2-Field Act. Labor &amp; Mach.'!K9</f>
        <v>7.1626812745625896</v>
      </c>
      <c r="E12" s="520">
        <f>'BW2-Field Act. Labor &amp; Mach.'!L9</f>
        <v>6.5697668891297312</v>
      </c>
      <c r="F12" s="526"/>
      <c r="G12" s="470"/>
      <c r="H12" s="470"/>
      <c r="I12" s="7"/>
      <c r="J12" s="7"/>
      <c r="K12" s="6"/>
      <c r="L12" s="6"/>
      <c r="M12" s="6"/>
    </row>
    <row r="13" spans="2:17">
      <c r="B13" s="132" t="s">
        <v>46</v>
      </c>
      <c r="C13" s="512">
        <f>'BW2-Field Act. Labor &amp; Mach.'!I10</f>
        <v>11.87289</v>
      </c>
      <c r="D13" s="520">
        <f>'BW2-Field Act. Labor &amp; Mach.'!K10</f>
        <v>16.900081383311999</v>
      </c>
      <c r="E13" s="520">
        <f>'BW2-Field Act. Labor &amp; Mach.'!L10</f>
        <v>23.703168100043012</v>
      </c>
      <c r="F13" s="526"/>
      <c r="G13" s="86"/>
      <c r="H13" s="470"/>
      <c r="I13" s="6"/>
      <c r="J13" s="6"/>
      <c r="K13" s="7"/>
      <c r="L13" s="6"/>
      <c r="M13" s="6"/>
    </row>
    <row r="14" spans="2:17">
      <c r="B14" s="151" t="s">
        <v>69</v>
      </c>
      <c r="C14" s="512"/>
      <c r="D14" s="520"/>
      <c r="E14" s="520"/>
      <c r="F14" s="526">
        <f>'BW3-Variable Input'!C9</f>
        <v>116.66666666666667</v>
      </c>
      <c r="G14" s="86"/>
      <c r="H14" s="470"/>
      <c r="I14" s="6"/>
      <c r="J14" s="6"/>
      <c r="K14" s="7"/>
      <c r="L14" s="6"/>
      <c r="M14" s="6"/>
    </row>
    <row r="15" spans="2:17">
      <c r="B15" s="10" t="s">
        <v>11</v>
      </c>
      <c r="C15" s="512">
        <f>'BW2-Field Act. Labor &amp; Mach.'!I13</f>
        <v>22.426569999999998</v>
      </c>
      <c r="D15" s="520">
        <f>'BW2-Field Act. Labor &amp; Mach.'!K13</f>
        <v>17.993866831056</v>
      </c>
      <c r="E15" s="520">
        <f>'BW2-Field Act. Labor &amp; Mach.'!L13</f>
        <v>44.771770188886023</v>
      </c>
      <c r="F15" s="538"/>
      <c r="G15" s="86"/>
      <c r="H15" s="471"/>
      <c r="I15" s="6"/>
      <c r="J15" s="6"/>
      <c r="K15" s="7"/>
      <c r="L15" s="6"/>
      <c r="M15" s="6"/>
    </row>
    <row r="16" spans="2:17">
      <c r="B16" s="10" t="s">
        <v>12</v>
      </c>
      <c r="C16" s="532"/>
      <c r="D16" s="535">
        <f>'BW2-Field Act. Labor &amp; Mach.'!K14</f>
        <v>9.2140341759999984</v>
      </c>
      <c r="E16" s="535">
        <f>'BW2-Field Act. Labor &amp; Mach.'!L14</f>
        <v>29.935417361494395</v>
      </c>
      <c r="F16" s="538"/>
      <c r="G16" s="86"/>
      <c r="H16" s="471"/>
      <c r="I16" s="6"/>
      <c r="J16" s="6"/>
      <c r="K16" s="6"/>
      <c r="L16" s="6"/>
      <c r="M16" s="6"/>
    </row>
    <row r="17" spans="2:13">
      <c r="B17" s="10" t="s">
        <v>13</v>
      </c>
      <c r="C17" s="532">
        <f>'BW2-Field Act. Labor &amp; Mach.'!I17</f>
        <v>72.556550000000001</v>
      </c>
      <c r="D17" s="535">
        <f>'BW2-Field Act. Labor &amp; Mach.'!K17</f>
        <v>18.413226025968029</v>
      </c>
      <c r="E17" s="535">
        <f>'BW2-Field Act. Labor &amp; Mach.'!L17</f>
        <v>38.951406687324337</v>
      </c>
      <c r="F17" s="538"/>
      <c r="G17" s="86"/>
      <c r="H17" s="471"/>
      <c r="I17" s="6"/>
      <c r="J17" s="6"/>
      <c r="K17" s="6"/>
      <c r="L17" s="6"/>
      <c r="M17" s="6"/>
    </row>
    <row r="18" spans="2:13">
      <c r="B18" s="151" t="str">
        <f>'BW3-Variable Input'!$B$19</f>
        <v>Plastic mulch for 84" bed spacing</v>
      </c>
      <c r="C18" s="532"/>
      <c r="D18" s="535"/>
      <c r="E18" s="535"/>
      <c r="F18" s="526">
        <f>'BW3-Variable Input'!C19</f>
        <v>77.785714285714278</v>
      </c>
      <c r="G18" s="86"/>
      <c r="H18" s="471"/>
      <c r="I18" s="7"/>
      <c r="J18" s="7"/>
      <c r="K18" s="6"/>
      <c r="L18" s="6"/>
      <c r="M18" s="6"/>
    </row>
    <row r="19" spans="2:13">
      <c r="B19" s="151" t="s">
        <v>313</v>
      </c>
      <c r="C19" s="532"/>
      <c r="D19" s="535"/>
      <c r="E19" s="535"/>
      <c r="F19" s="526">
        <f>'BW3-Variable Input'!C21</f>
        <v>33.880000000000003</v>
      </c>
      <c r="G19" s="86"/>
      <c r="H19" s="471"/>
      <c r="I19" s="6"/>
      <c r="J19" s="6"/>
      <c r="K19" s="6"/>
      <c r="L19" s="6"/>
      <c r="M19" s="6"/>
    </row>
    <row r="20" spans="2:13">
      <c r="B20" s="418" t="s">
        <v>315</v>
      </c>
      <c r="C20" s="533"/>
      <c r="D20" s="536"/>
      <c r="E20" s="536"/>
      <c r="F20" s="527">
        <f>'BW3-Variable Input'!C11</f>
        <v>186</v>
      </c>
      <c r="G20" s="488"/>
      <c r="H20" s="484"/>
      <c r="I20" s="6"/>
      <c r="J20" s="6"/>
      <c r="K20" s="6"/>
      <c r="L20" s="6"/>
      <c r="M20" s="6"/>
    </row>
    <row r="21" spans="2:13">
      <c r="B21" s="10"/>
      <c r="C21" s="86"/>
      <c r="D21" s="86"/>
      <c r="E21" s="86"/>
      <c r="F21" s="86"/>
      <c r="G21" s="86"/>
      <c r="H21" s="467"/>
      <c r="I21" s="6"/>
      <c r="J21" s="6"/>
      <c r="K21" s="6"/>
      <c r="L21" s="6"/>
      <c r="M21" s="6"/>
    </row>
    <row r="22" spans="2:13">
      <c r="B22" s="1003" t="s">
        <v>10</v>
      </c>
      <c r="C22" s="534"/>
      <c r="D22" s="537"/>
      <c r="E22" s="537"/>
      <c r="F22" s="539"/>
      <c r="G22" s="501"/>
      <c r="H22" s="502"/>
      <c r="I22" s="6"/>
      <c r="J22" s="6"/>
      <c r="K22" s="6"/>
      <c r="L22" s="6"/>
      <c r="M22" s="6"/>
    </row>
    <row r="23" spans="2:13">
      <c r="B23" s="10" t="str">
        <f>'BW2-Field Act. Labor &amp; Mach.'!B22</f>
        <v>Transplant on plastic mulch</v>
      </c>
      <c r="C23" s="532">
        <f>'BW2-Field Act. Labor &amp; Mach.'!I22</f>
        <v>131.92099999999999</v>
      </c>
      <c r="D23" s="535">
        <f>'BW2-Field Act. Labor &amp; Mach.'!K22</f>
        <v>36.302136438428491</v>
      </c>
      <c r="E23" s="535">
        <f>'BW2-Field Act. Labor &amp; Mach.'!L22</f>
        <v>41.509045695666089</v>
      </c>
      <c r="F23" s="538"/>
      <c r="G23" s="86"/>
      <c r="H23" s="471"/>
      <c r="I23" s="6"/>
      <c r="J23" s="6"/>
      <c r="K23" s="6"/>
      <c r="L23" s="6"/>
      <c r="M23" s="6"/>
    </row>
    <row r="24" spans="2:13">
      <c r="B24" s="151" t="s">
        <v>685</v>
      </c>
      <c r="C24" s="532"/>
      <c r="D24" s="535"/>
      <c r="E24" s="535"/>
      <c r="F24" s="538">
        <f>'BW4-Transplant Production'!F20</f>
        <v>280.30403657142864</v>
      </c>
      <c r="G24" s="1029" t="s">
        <v>720</v>
      </c>
      <c r="H24" s="470"/>
      <c r="I24" s="6"/>
      <c r="J24" s="6"/>
      <c r="K24" s="6"/>
      <c r="L24" s="6"/>
      <c r="M24" s="6"/>
    </row>
    <row r="25" spans="2:13">
      <c r="B25" s="151" t="s">
        <v>459</v>
      </c>
      <c r="C25" s="532">
        <f>'BW4-Transplant Production'!D20</f>
        <v>808.73421443352402</v>
      </c>
      <c r="D25" s="535"/>
      <c r="E25" s="535"/>
      <c r="F25" s="538">
        <f>'BW4-Transplant Production'!J47</f>
        <v>417.82758711676041</v>
      </c>
      <c r="G25" s="1029" t="s">
        <v>720</v>
      </c>
      <c r="H25" s="470"/>
      <c r="I25" s="6"/>
      <c r="J25" s="6"/>
      <c r="K25" s="6"/>
      <c r="L25" s="6"/>
      <c r="M25" s="6"/>
    </row>
    <row r="26" spans="2:13">
      <c r="B26" s="10" t="str">
        <f>'BW2-Field Act. Labor &amp; Mach.'!B25</f>
        <v>Seed living mulch between plastic beds</v>
      </c>
      <c r="C26" s="532">
        <f>'BW2-Field Act. Labor &amp; Mach.'!I25</f>
        <v>26.3842</v>
      </c>
      <c r="D26" s="535">
        <f>'BW2-Field Act. Labor &amp; Mach.'!K25</f>
        <v>1.5835499999999998</v>
      </c>
      <c r="E26" s="535">
        <f>'BW2-Field Act. Labor &amp; Mach.'!L25</f>
        <v>5.5640243902439019</v>
      </c>
      <c r="F26" s="538"/>
      <c r="G26" s="86"/>
      <c r="H26" s="471"/>
      <c r="I26" s="6"/>
      <c r="J26" s="6"/>
      <c r="K26" s="6"/>
      <c r="L26" s="6"/>
      <c r="M26" s="6"/>
    </row>
    <row r="27" spans="2:13">
      <c r="B27" s="490" t="str">
        <f>'BW3-Variable Input'!B35</f>
        <v>Living mulch seed</v>
      </c>
      <c r="C27" s="518"/>
      <c r="D27" s="524"/>
      <c r="E27" s="524"/>
      <c r="F27" s="531">
        <v>79.87</v>
      </c>
      <c r="G27" s="488"/>
      <c r="H27" s="484"/>
      <c r="I27" s="6"/>
      <c r="J27" s="6"/>
      <c r="K27" s="6"/>
      <c r="L27" s="6"/>
      <c r="M27" s="6"/>
    </row>
    <row r="28" spans="2:13">
      <c r="B28" s="10"/>
      <c r="C28" s="86"/>
      <c r="D28" s="86"/>
      <c r="E28" s="86"/>
      <c r="F28" s="86"/>
      <c r="G28" s="86"/>
      <c r="H28" s="467"/>
      <c r="I28" s="6"/>
      <c r="J28" s="6"/>
      <c r="K28" s="6"/>
      <c r="L28" s="6"/>
      <c r="M28" s="6"/>
    </row>
    <row r="29" spans="2:13">
      <c r="B29" s="1003" t="s">
        <v>37</v>
      </c>
      <c r="C29" s="534"/>
      <c r="D29" s="537"/>
      <c r="E29" s="537"/>
      <c r="F29" s="539"/>
      <c r="G29" s="501"/>
      <c r="H29" s="501"/>
      <c r="I29" s="7"/>
      <c r="J29" s="6"/>
      <c r="K29" s="6"/>
      <c r="L29" s="6"/>
      <c r="M29" s="6"/>
    </row>
    <row r="30" spans="2:13">
      <c r="B30" s="462" t="s">
        <v>179</v>
      </c>
      <c r="C30" s="512">
        <f>'BW2-Field Act. Labor &amp; Mach.'!$I$31*2</f>
        <v>10.55368</v>
      </c>
      <c r="D30" s="520">
        <f>'BW2-Field Act. Labor &amp; Mach.'!K31*2</f>
        <v>1.6570295666513035</v>
      </c>
      <c r="E30" s="520">
        <f>'BW2-Field Act. Labor &amp; Mach.'!L31*2</f>
        <v>27.363002680965153</v>
      </c>
      <c r="F30" s="538"/>
      <c r="G30" s="86"/>
      <c r="H30" s="471"/>
      <c r="I30" s="7"/>
      <c r="J30" s="7"/>
      <c r="K30" s="6"/>
      <c r="L30" s="6"/>
      <c r="M30" s="6"/>
    </row>
    <row r="31" spans="2:13">
      <c r="B31" s="151" t="str">
        <f>'BW5-Irrigation'!$B$8</f>
        <v>Irrigation supply cost</v>
      </c>
      <c r="C31" s="512"/>
      <c r="D31" s="520"/>
      <c r="E31" s="520"/>
      <c r="F31" s="526">
        <f>'BW5-Irrigation'!$E$8</f>
        <v>32.773534158149545</v>
      </c>
      <c r="G31" s="1029" t="s">
        <v>851</v>
      </c>
      <c r="H31" s="471"/>
      <c r="I31" s="7"/>
      <c r="J31" s="6"/>
      <c r="K31" s="6"/>
      <c r="L31" s="6"/>
      <c r="M31" s="6"/>
    </row>
    <row r="32" spans="2:13">
      <c r="B32" s="132" t="str">
        <f>'BW5-Irrigation'!$B$9</f>
        <v>Irrigation set-up labor cost</v>
      </c>
      <c r="C32" s="512">
        <f>'BW5-Irrigation'!$E$9</f>
        <v>50.735370890410955</v>
      </c>
      <c r="D32" s="520"/>
      <c r="E32" s="520"/>
      <c r="F32" s="526"/>
      <c r="G32" s="1029" t="s">
        <v>851</v>
      </c>
      <c r="H32" s="471"/>
      <c r="I32" s="7"/>
      <c r="J32" s="6"/>
      <c r="K32" s="6"/>
      <c r="L32" s="6"/>
      <c r="M32" s="6"/>
    </row>
    <row r="33" spans="2:14">
      <c r="B33" s="10" t="s">
        <v>336</v>
      </c>
      <c r="C33" s="532">
        <f>('BW2-Field Act. Labor &amp; Mach.'!I39)*'BW5-Irrigation'!C33</f>
        <v>263.84199999999998</v>
      </c>
      <c r="D33" s="535"/>
      <c r="E33" s="535"/>
      <c r="F33" s="538"/>
      <c r="G33" s="86"/>
      <c r="H33" s="86"/>
      <c r="I33" s="7"/>
      <c r="J33" s="6"/>
      <c r="K33" s="6"/>
      <c r="L33" s="6"/>
      <c r="M33" s="6"/>
    </row>
    <row r="34" spans="2:14">
      <c r="B34" s="132" t="s">
        <v>346</v>
      </c>
      <c r="C34" s="512">
        <f>'BW2-Field Act. Labor &amp; Mach.'!$I$30*2</f>
        <v>15.83052</v>
      </c>
      <c r="D34" s="520">
        <f>'BW2-Field Act. Labor &amp; Mach.'!K30*2</f>
        <v>3.8005199999999992</v>
      </c>
      <c r="E34" s="520">
        <f>'BW2-Field Act. Labor &amp; Mach.'!L30*2</f>
        <v>13.353658536585364</v>
      </c>
      <c r="F34" s="526"/>
      <c r="G34" s="86"/>
      <c r="H34" s="471"/>
      <c r="I34" s="7"/>
      <c r="J34" s="6"/>
      <c r="K34" s="6"/>
      <c r="L34" s="6"/>
      <c r="M34" s="6"/>
    </row>
    <row r="35" spans="2:14">
      <c r="B35" s="265" t="s">
        <v>344</v>
      </c>
      <c r="C35" s="512">
        <f>'BW2-Field Act. Labor &amp; Mach.'!$I$35*2</f>
        <v>131.92099999999999</v>
      </c>
      <c r="D35" s="520"/>
      <c r="E35" s="520"/>
      <c r="F35" s="526"/>
      <c r="G35" s="86"/>
      <c r="H35" s="471"/>
      <c r="I35" s="7"/>
      <c r="J35" s="6"/>
      <c r="K35" s="6"/>
      <c r="L35" s="6"/>
      <c r="M35" s="6"/>
    </row>
    <row r="36" spans="2:14">
      <c r="B36" s="10" t="s">
        <v>326</v>
      </c>
      <c r="C36" s="532">
        <f>'BW2-Field Act. Labor &amp; Mach.'!I37*3</f>
        <v>39.576300000000003</v>
      </c>
      <c r="D36" s="535">
        <f>'BW2-Field Act. Labor &amp; Mach.'!K37*3</f>
        <v>30.546664935780097</v>
      </c>
      <c r="E36" s="535">
        <f>'BW2-Field Act. Labor &amp; Mach.'!L37*3</f>
        <v>39.314799296778247</v>
      </c>
      <c r="F36" s="538"/>
      <c r="G36" s="86"/>
      <c r="H36" s="86"/>
      <c r="I36" s="7"/>
      <c r="J36" s="6"/>
      <c r="K36" s="6"/>
      <c r="L36" s="6"/>
      <c r="M36" s="6"/>
    </row>
    <row r="37" spans="2:14">
      <c r="B37" s="414" t="s">
        <v>501</v>
      </c>
      <c r="C37" s="532"/>
      <c r="D37" s="535"/>
      <c r="E37" s="535"/>
      <c r="F37" s="538">
        <f>'BW3-Variable Input'!C57</f>
        <v>41.093801870748301</v>
      </c>
      <c r="G37" s="86"/>
      <c r="H37" s="471"/>
      <c r="I37" s="6"/>
      <c r="J37" s="16"/>
      <c r="K37" s="16"/>
      <c r="L37" s="16"/>
      <c r="M37" s="16"/>
      <c r="N37" s="11"/>
    </row>
    <row r="38" spans="2:14">
      <c r="B38" s="10" t="s">
        <v>159</v>
      </c>
      <c r="C38" s="532">
        <f>'BW2-Field Act. Labor &amp; Mach.'!I33*3</f>
        <v>31.66104</v>
      </c>
      <c r="D38" s="535">
        <f>'BW2-Field Act. Labor &amp; Mach.'!K33*3</f>
        <v>14.904</v>
      </c>
      <c r="E38" s="535">
        <f>'BW2-Field Act. Labor &amp; Mach.'!L33*3</f>
        <v>66.625647668393796</v>
      </c>
      <c r="F38" s="538"/>
      <c r="G38" s="86"/>
      <c r="H38" s="479"/>
    </row>
    <row r="39" spans="2:14">
      <c r="B39" s="10" t="s">
        <v>300</v>
      </c>
      <c r="C39" s="532">
        <f>'BW2-Field Act. Labor &amp; Mach.'!$I$40*('BW5-Irrigation'!D33+'BW5-Irrigation'!E33)</f>
        <v>68.598920000000007</v>
      </c>
      <c r="D39" s="535">
        <f>'BW2-Field Act. Labor &amp; Mach.'!K40*('BW5-Irrigation'!C33+'BW5-Irrigation'!D33+'BW5-Irrigation'!E33)</f>
        <v>264.62776639977335</v>
      </c>
      <c r="E39" s="535">
        <f>'BW2-Field Act. Labor &amp; Mach.'!L40*('BW5-Irrigation'!C33+'BW5-Irrigation'!D33+'BW5-Irrigation'!E33)</f>
        <v>343.81640100374636</v>
      </c>
      <c r="F39" s="538"/>
      <c r="G39" s="1004"/>
      <c r="H39" s="471"/>
      <c r="I39" s="7"/>
      <c r="J39" s="6"/>
      <c r="K39" s="6"/>
      <c r="L39" s="6"/>
      <c r="M39" s="6"/>
    </row>
    <row r="40" spans="2:14">
      <c r="B40" s="481" t="s">
        <v>611</v>
      </c>
      <c r="C40" s="532"/>
      <c r="D40" s="535"/>
      <c r="E40" s="535"/>
      <c r="F40" s="538">
        <f>'BW3-Variable Input'!$C$14*'BW5-Irrigation'!D33</f>
        <v>72</v>
      </c>
      <c r="G40" s="1029" t="s">
        <v>851</v>
      </c>
      <c r="H40" s="471"/>
      <c r="I40" s="7"/>
      <c r="J40" s="6"/>
      <c r="K40" s="6"/>
      <c r="L40" s="6"/>
      <c r="M40" s="6"/>
    </row>
    <row r="41" spans="2:14">
      <c r="B41" s="12" t="s">
        <v>614</v>
      </c>
      <c r="C41" s="532"/>
      <c r="D41" s="535"/>
      <c r="E41" s="535"/>
      <c r="F41" s="538">
        <f>'BW3-Variable Input'!$C$15*'BW5-Irrigation'!E33</f>
        <v>34</v>
      </c>
      <c r="G41" s="1029" t="s">
        <v>851</v>
      </c>
      <c r="H41" s="471"/>
      <c r="I41" s="7"/>
      <c r="J41" s="7"/>
      <c r="K41" s="6"/>
      <c r="L41" s="6"/>
      <c r="M41" s="6"/>
    </row>
    <row r="42" spans="2:14">
      <c r="B42" s="490" t="s">
        <v>615</v>
      </c>
      <c r="C42" s="518"/>
      <c r="D42" s="524"/>
      <c r="E42" s="524"/>
      <c r="F42" s="531">
        <f>'BW3-Variable Input'!$C$16*'BW5-Irrigation'!F33</f>
        <v>19.5</v>
      </c>
      <c r="G42" s="1030" t="s">
        <v>851</v>
      </c>
      <c r="H42" s="493"/>
      <c r="I42" s="6"/>
      <c r="J42" s="13"/>
      <c r="K42" s="13"/>
      <c r="L42" s="13"/>
      <c r="M42" s="13"/>
      <c r="N42" s="11"/>
    </row>
    <row r="43" spans="2:14" s="454" customFormat="1">
      <c r="B43" s="824" t="s">
        <v>508</v>
      </c>
      <c r="C43" s="60">
        <f>SUM(C12:C20, C23:C27,C30:C42)</f>
        <v>1695.8487253239346</v>
      </c>
      <c r="D43" s="60">
        <f>SUM(D12:D20, D23:D27,D30:D42)</f>
        <v>423.10555703153182</v>
      </c>
      <c r="E43" s="60">
        <f>SUM(E12:E20, E23:E27,E30:E42)</f>
        <v>681.47810849925645</v>
      </c>
      <c r="F43" s="60">
        <f>SUM(F12:F20, F23:F27,F30:F42)</f>
        <v>1391.701340669468</v>
      </c>
      <c r="G43" s="1005" t="s">
        <v>4</v>
      </c>
      <c r="H43" s="597">
        <f>SUM(C43:F43)</f>
        <v>4192.1337315241908</v>
      </c>
      <c r="I43" s="401"/>
      <c r="J43" s="496"/>
      <c r="K43" s="496"/>
      <c r="L43" s="496"/>
      <c r="M43" s="496"/>
      <c r="N43" s="497"/>
    </row>
    <row r="44" spans="2:14" s="120" customFormat="1" ht="15" customHeight="1">
      <c r="B44" s="593"/>
      <c r="C44" s="133"/>
      <c r="D44" s="133"/>
      <c r="E44" s="133"/>
      <c r="F44" s="133"/>
      <c r="G44" s="924"/>
      <c r="H44" s="265"/>
    </row>
    <row r="45" spans="2:14" s="119" customFormat="1" ht="15" customHeight="1">
      <c r="B45" s="116" t="s">
        <v>914</v>
      </c>
      <c r="C45" s="133"/>
      <c r="D45" s="133"/>
      <c r="E45" s="133"/>
      <c r="F45" s="133"/>
      <c r="G45" s="924"/>
      <c r="H45" s="265"/>
    </row>
    <row r="46" spans="2:14">
      <c r="B46" s="1003" t="s">
        <v>3</v>
      </c>
      <c r="C46" s="1006"/>
      <c r="D46" s="1007"/>
      <c r="E46" s="1007"/>
      <c r="F46" s="1008"/>
      <c r="G46" s="1009"/>
      <c r="H46" s="1010"/>
      <c r="I46" s="6"/>
      <c r="J46" s="16"/>
      <c r="K46" s="16"/>
      <c r="L46" s="16"/>
      <c r="M46" s="16"/>
      <c r="N46" s="11"/>
    </row>
    <row r="47" spans="2:14">
      <c r="B47" s="10" t="s">
        <v>317</v>
      </c>
      <c r="C47" s="532">
        <f>('BW6-Harvest and Wash-Pack'!D28*'BW6-Harvest and Wash-Pack'!G28)+('BW2-Field Act. Labor &amp; Mach.'!I54*'BW6-Harvest and Wash-Pack'!G28)</f>
        <v>2163.5043999999998</v>
      </c>
      <c r="D47" s="535">
        <f>'BW2-Field Act. Labor &amp; Mach.'!K54*'BW6-Harvest and Wash-Pack'!G28</f>
        <v>1.0627890809980829</v>
      </c>
      <c r="E47" s="535">
        <f>'BW2-Field Act. Labor &amp; Mach.'!L54*'BW6-Harvest and Wash-Pack'!G28</f>
        <v>5.8806818181818175</v>
      </c>
      <c r="F47" s="538"/>
      <c r="G47" s="1029" t="s">
        <v>852</v>
      </c>
      <c r="H47" s="462"/>
      <c r="I47" s="6"/>
      <c r="J47" s="16"/>
      <c r="K47" s="16"/>
      <c r="L47" s="16"/>
      <c r="M47" s="16"/>
      <c r="N47" s="11"/>
    </row>
    <row r="48" spans="2:14">
      <c r="B48" s="487" t="s">
        <v>360</v>
      </c>
      <c r="C48" s="533">
        <f>'BW6-Harvest and Wash-Pack'!F28*'BW6-Harvest and Wash-Pack'!G28</f>
        <v>316.61040000000003</v>
      </c>
      <c r="D48" s="536"/>
      <c r="E48" s="536"/>
      <c r="F48" s="540"/>
      <c r="G48" s="1030" t="s">
        <v>852</v>
      </c>
      <c r="H48" s="493"/>
      <c r="I48" s="6"/>
      <c r="J48" s="16"/>
      <c r="K48" s="16"/>
      <c r="L48" s="16"/>
      <c r="M48" s="16"/>
      <c r="N48" s="11"/>
    </row>
    <row r="49" spans="1:14" s="454" customFormat="1">
      <c r="A49" s="116"/>
      <c r="B49" s="824" t="s">
        <v>508</v>
      </c>
      <c r="C49" s="60">
        <f>SUM(C47:C48)</f>
        <v>2480.1147999999998</v>
      </c>
      <c r="D49" s="60">
        <f>SUM(D47:D48)</f>
        <v>1.0627890809980829</v>
      </c>
      <c r="E49" s="60">
        <f>SUM(E47:E48)</f>
        <v>5.8806818181818175</v>
      </c>
      <c r="F49" s="60">
        <f>SUM(F47:F48)</f>
        <v>0</v>
      </c>
      <c r="G49" s="1005" t="s">
        <v>4</v>
      </c>
      <c r="H49" s="597">
        <f>SUM(C49:F49)</f>
        <v>2487.0582708991801</v>
      </c>
      <c r="I49" s="401"/>
      <c r="J49" s="496"/>
      <c r="K49" s="496"/>
      <c r="L49" s="496"/>
      <c r="M49" s="496"/>
      <c r="N49" s="497"/>
    </row>
    <row r="50" spans="1:14" s="120" customFormat="1" ht="15" customHeight="1">
      <c r="B50" s="593"/>
      <c r="C50" s="133"/>
      <c r="D50" s="133"/>
      <c r="E50" s="133"/>
      <c r="F50" s="133"/>
      <c r="G50" s="924"/>
      <c r="H50" s="265"/>
    </row>
    <row r="51" spans="1:14" s="119" customFormat="1" ht="15" customHeight="1">
      <c r="B51" s="116" t="s">
        <v>662</v>
      </c>
      <c r="C51" s="133"/>
      <c r="D51" s="133"/>
      <c r="E51" s="133"/>
      <c r="F51" s="133"/>
      <c r="G51" s="924"/>
      <c r="H51" s="265"/>
    </row>
    <row r="52" spans="1:14">
      <c r="B52" s="921" t="s">
        <v>663</v>
      </c>
      <c r="C52" s="534"/>
      <c r="D52" s="537"/>
      <c r="E52" s="537"/>
      <c r="F52" s="539"/>
      <c r="G52" s="502"/>
      <c r="H52" s="502"/>
      <c r="I52" s="6"/>
      <c r="J52" s="16"/>
      <c r="K52" s="16"/>
      <c r="L52" s="16"/>
      <c r="M52" s="16"/>
      <c r="N52" s="11"/>
    </row>
    <row r="53" spans="1:14">
      <c r="B53" s="132" t="s">
        <v>42</v>
      </c>
      <c r="C53" s="512">
        <f>'BW2-Field Act. Labor &amp; Mach.'!$I$62</f>
        <v>10.55368</v>
      </c>
      <c r="D53" s="520">
        <f>'BW2-Field Act. Labor &amp; Mach.'!K62</f>
        <v>8.1859214566429603</v>
      </c>
      <c r="E53" s="520">
        <f>'BW2-Field Act. Labor &amp; Mach.'!L62</f>
        <v>7.508305016148265</v>
      </c>
      <c r="F53" s="526"/>
      <c r="G53" s="471"/>
      <c r="H53" s="471"/>
      <c r="I53" s="6"/>
      <c r="J53" s="16"/>
      <c r="K53" s="16"/>
      <c r="L53" s="16"/>
      <c r="M53" s="16"/>
      <c r="N53" s="11"/>
    </row>
    <row r="54" spans="1:14">
      <c r="B54" s="132" t="s">
        <v>149</v>
      </c>
      <c r="C54" s="512">
        <f>'BW2-Field Act. Labor &amp; Mach.'!$I$63</f>
        <v>7.91526</v>
      </c>
      <c r="D54" s="520">
        <f>'BW2-Field Act. Labor &amp; Mach.'!K63</f>
        <v>6.9413678434651436</v>
      </c>
      <c r="E54" s="520">
        <f>'BW2-Field Act. Labor &amp; Mach.'!L63</f>
        <v>14.062451996276074</v>
      </c>
      <c r="F54" s="526"/>
      <c r="G54" s="471"/>
      <c r="H54" s="471"/>
      <c r="I54" s="6"/>
      <c r="J54" s="16"/>
      <c r="K54" s="16"/>
      <c r="L54" s="16"/>
      <c r="M54" s="16"/>
      <c r="N54" s="11"/>
    </row>
    <row r="55" spans="1:14">
      <c r="B55" s="132" t="s">
        <v>158</v>
      </c>
      <c r="C55" s="512">
        <f>'BW2-Field Act. Labor &amp; Mach.'!$I$64</f>
        <v>26.3842</v>
      </c>
      <c r="D55" s="520">
        <f>'BW2-Field Act. Labor &amp; Mach.'!K64</f>
        <v>4.5434266879999994</v>
      </c>
      <c r="E55" s="520">
        <f>'BW2-Field Act. Labor &amp; Mach.'!L64</f>
        <v>3.8571108546602404</v>
      </c>
      <c r="F55" s="526"/>
      <c r="G55" s="471"/>
      <c r="H55" s="471"/>
      <c r="I55" s="6"/>
      <c r="J55" s="16"/>
      <c r="K55" s="16"/>
      <c r="L55" s="16"/>
      <c r="M55" s="16"/>
      <c r="N55" s="11"/>
    </row>
    <row r="56" spans="1:14">
      <c r="B56" s="132" t="s">
        <v>43</v>
      </c>
      <c r="C56" s="512">
        <f>'BW2-Field Act. Labor &amp; Mach.'!$I$66</f>
        <v>5.27684</v>
      </c>
      <c r="D56" s="520">
        <f>'BW2-Field Act. Labor &amp; Mach.'!K66</f>
        <v>4.7393418269465482</v>
      </c>
      <c r="E56" s="520">
        <f>'BW2-Field Act. Labor &amp; Mach.'!L66</f>
        <v>4.8215303303156709</v>
      </c>
      <c r="F56" s="526"/>
      <c r="G56" s="471"/>
      <c r="H56" s="471"/>
      <c r="I56" s="6"/>
      <c r="J56" s="16"/>
      <c r="K56" s="16"/>
      <c r="L56" s="16"/>
      <c r="M56" s="16"/>
      <c r="N56" s="11"/>
    </row>
    <row r="57" spans="1:14">
      <c r="B57" s="132" t="s">
        <v>44</v>
      </c>
      <c r="C57" s="512">
        <f>'BW2-Field Act. Labor &amp; Mach.'!$I$67</f>
        <v>5.27684</v>
      </c>
      <c r="D57" s="520">
        <f>'BW2-Field Act. Labor &amp; Mach.'!K67</f>
        <v>4.5754035882945541</v>
      </c>
      <c r="E57" s="520">
        <f>'BW2-Field Act. Labor &amp; Mach.'!L67</f>
        <v>8.7882358546602415</v>
      </c>
      <c r="F57" s="526"/>
      <c r="G57" s="471"/>
      <c r="H57" s="471"/>
      <c r="I57" s="6"/>
      <c r="J57" s="16"/>
      <c r="K57" s="16"/>
      <c r="L57" s="16"/>
      <c r="M57" s="16"/>
      <c r="N57" s="11"/>
    </row>
    <row r="58" spans="1:14">
      <c r="B58" s="132" t="s">
        <v>45</v>
      </c>
      <c r="C58" s="512">
        <f>'BW2-Field Act. Labor &amp; Mach.'!$I$69</f>
        <v>14.511310000000002</v>
      </c>
      <c r="D58" s="520">
        <f>'BW2-Field Act. Labor &amp; Mach.'!K69</f>
        <v>5.9046727740142977</v>
      </c>
      <c r="E58" s="520">
        <f>'BW2-Field Act. Labor &amp; Mach.'!L69</f>
        <v>8.041581086300118</v>
      </c>
      <c r="F58" s="526"/>
      <c r="G58" s="471"/>
      <c r="H58" s="471"/>
      <c r="I58" s="6"/>
      <c r="J58" s="16"/>
      <c r="K58" s="16"/>
      <c r="L58" s="16"/>
      <c r="M58" s="16"/>
      <c r="N58" s="11"/>
    </row>
    <row r="59" spans="1:14">
      <c r="B59" s="500" t="str">
        <f>'BW3-Variable Input'!$B$33</f>
        <v>Winter cover crop seed</v>
      </c>
      <c r="C59" s="513"/>
      <c r="D59" s="521"/>
      <c r="E59" s="521"/>
      <c r="F59" s="527">
        <f>'BW3-Variable Input'!$C$33</f>
        <v>31.793452380952385</v>
      </c>
      <c r="G59" s="484"/>
      <c r="H59" s="484"/>
      <c r="I59" s="6"/>
      <c r="J59" s="16"/>
      <c r="K59" s="16"/>
      <c r="L59" s="16"/>
      <c r="M59" s="16"/>
      <c r="N59" s="11"/>
    </row>
    <row r="60" spans="1:14" s="454" customFormat="1">
      <c r="B60" s="824" t="s">
        <v>508</v>
      </c>
      <c r="C60" s="60">
        <f>SUM(C53:C59)</f>
        <v>69.918129999999991</v>
      </c>
      <c r="D60" s="60">
        <f>SUM(D53:D59)</f>
        <v>34.890134177363507</v>
      </c>
      <c r="E60" s="60">
        <f>SUM(E53:E59)</f>
        <v>47.07921513836061</v>
      </c>
      <c r="F60" s="60">
        <f>SUM(F53:F59)</f>
        <v>31.793452380952385</v>
      </c>
      <c r="G60" s="596" t="s">
        <v>4</v>
      </c>
      <c r="H60" s="597">
        <f>SUM(C60:F60)</f>
        <v>183.68093169667648</v>
      </c>
      <c r="I60" s="401"/>
      <c r="J60" s="498"/>
      <c r="K60" s="498"/>
      <c r="L60" s="498"/>
      <c r="M60" s="498"/>
      <c r="N60" s="497"/>
    </row>
    <row r="61" spans="1:14" s="81" customFormat="1">
      <c r="B61" s="593"/>
      <c r="C61" s="133"/>
      <c r="D61" s="133"/>
      <c r="E61" s="133"/>
      <c r="F61" s="133"/>
      <c r="G61" s="463"/>
      <c r="H61" s="471"/>
      <c r="I61" s="14"/>
      <c r="J61" s="16"/>
      <c r="K61" s="16"/>
      <c r="L61" s="16"/>
      <c r="M61" s="16"/>
    </row>
    <row r="62" spans="1:14" s="454" customFormat="1">
      <c r="B62" s="116" t="s">
        <v>515</v>
      </c>
      <c r="C62" s="60">
        <f>C43+C49+C60</f>
        <v>4245.881655323934</v>
      </c>
      <c r="D62" s="60">
        <f>D43+D49+D60</f>
        <v>459.0584802898934</v>
      </c>
      <c r="E62" s="60">
        <f>E43+E49+E60</f>
        <v>734.43800545579893</v>
      </c>
      <c r="F62" s="60">
        <f>F43+F49+F60</f>
        <v>1423.4947930504204</v>
      </c>
      <c r="G62" s="596" t="s">
        <v>4</v>
      </c>
      <c r="H62" s="597">
        <f>SUM(C62:F62)</f>
        <v>6862.8729341200469</v>
      </c>
      <c r="I62" s="401"/>
      <c r="J62" s="498"/>
      <c r="K62" s="498"/>
      <c r="L62" s="498"/>
      <c r="M62" s="498"/>
      <c r="N62" s="497"/>
    </row>
    <row r="63" spans="1:14">
      <c r="B63" s="114"/>
      <c r="C63" s="86"/>
      <c r="D63" s="86"/>
      <c r="E63" s="86"/>
      <c r="F63" s="86"/>
      <c r="G63" s="471"/>
      <c r="H63" s="471"/>
      <c r="I63" s="6"/>
      <c r="J63" s="16"/>
      <c r="K63" s="16"/>
      <c r="L63" s="16"/>
      <c r="M63" s="16"/>
      <c r="N63" s="11"/>
    </row>
    <row r="64" spans="1:14" s="108" customFormat="1">
      <c r="B64" s="1032"/>
      <c r="C64" s="1033"/>
      <c r="D64" s="1033"/>
      <c r="E64" s="1033"/>
      <c r="F64" s="1033"/>
      <c r="G64" s="1033"/>
      <c r="H64" s="1033"/>
    </row>
    <row r="65" spans="2:13">
      <c r="B65" s="135"/>
      <c r="C65" s="135"/>
      <c r="D65" s="135"/>
      <c r="E65" s="135"/>
      <c r="F65" s="135"/>
      <c r="G65" s="135"/>
      <c r="H65" s="135"/>
    </row>
    <row r="66" spans="2:13">
      <c r="B66" s="116" t="s">
        <v>664</v>
      </c>
      <c r="C66" s="135"/>
      <c r="D66" s="135"/>
      <c r="E66" s="135"/>
      <c r="F66" s="135"/>
      <c r="G66" s="135"/>
      <c r="H66" s="135"/>
    </row>
    <row r="67" spans="2:13">
      <c r="B67" s="985" t="s">
        <v>668</v>
      </c>
      <c r="C67" s="135"/>
      <c r="D67" s="135"/>
      <c r="E67" s="135"/>
      <c r="F67" s="135"/>
      <c r="G67" s="135"/>
      <c r="H67" s="989">
        <f>C43+C60</f>
        <v>1765.7668553239346</v>
      </c>
    </row>
    <row r="68" spans="2:13">
      <c r="B68" s="135" t="s">
        <v>667</v>
      </c>
      <c r="C68" s="135"/>
      <c r="D68" s="135"/>
      <c r="E68" s="135"/>
      <c r="F68" s="135"/>
      <c r="G68" s="135"/>
      <c r="H68" s="989">
        <f>D43+D60</f>
        <v>457.99569120889532</v>
      </c>
    </row>
    <row r="69" spans="2:13">
      <c r="B69" s="985" t="s">
        <v>669</v>
      </c>
      <c r="C69" s="472"/>
      <c r="D69" s="86"/>
      <c r="E69" s="60"/>
      <c r="F69" s="464"/>
      <c r="G69" s="473"/>
      <c r="H69" s="471">
        <f>F43+F60</f>
        <v>1423.4947930504204</v>
      </c>
      <c r="I69" s="16"/>
      <c r="J69" s="16"/>
      <c r="K69" s="16"/>
      <c r="L69" s="16"/>
      <c r="M69" s="11"/>
    </row>
    <row r="70" spans="2:13">
      <c r="B70" s="831" t="s">
        <v>666</v>
      </c>
      <c r="C70" s="472"/>
      <c r="D70" s="472"/>
      <c r="E70" s="598"/>
      <c r="F70" s="464"/>
      <c r="G70" s="473"/>
      <c r="H70" s="620">
        <f>SUM(H67:H69)</f>
        <v>3647.2573395832505</v>
      </c>
      <c r="I70" s="16"/>
      <c r="J70" s="16"/>
      <c r="K70" s="16"/>
      <c r="L70" s="16"/>
      <c r="M70" s="11"/>
    </row>
    <row r="71" spans="2:13">
      <c r="B71" s="985" t="s">
        <v>680</v>
      </c>
      <c r="C71" s="472"/>
      <c r="D71" s="472"/>
      <c r="E71" s="472"/>
      <c r="F71" s="10"/>
      <c r="G71" s="473"/>
      <c r="H71" s="471">
        <f>C49</f>
        <v>2480.1147999999998</v>
      </c>
      <c r="I71" s="16"/>
      <c r="J71" s="16"/>
      <c r="K71" s="16"/>
      <c r="L71" s="16"/>
      <c r="M71" s="11"/>
    </row>
    <row r="72" spans="2:13">
      <c r="B72" s="985" t="s">
        <v>445</v>
      </c>
      <c r="C72" s="472"/>
      <c r="D72" s="472"/>
      <c r="E72" s="472"/>
      <c r="F72" s="10"/>
      <c r="G72" s="473"/>
      <c r="H72" s="471">
        <f>D49</f>
        <v>1.0627890809980829</v>
      </c>
      <c r="I72" s="16"/>
      <c r="J72" s="16"/>
      <c r="K72" s="16"/>
      <c r="L72" s="16"/>
      <c r="M72" s="11"/>
    </row>
    <row r="73" spans="2:13">
      <c r="B73" s="985" t="s">
        <v>670</v>
      </c>
      <c r="C73" s="472"/>
      <c r="D73" s="60"/>
      <c r="E73" s="472"/>
      <c r="F73" s="10"/>
      <c r="G73" s="132"/>
      <c r="H73" s="471">
        <f>F49</f>
        <v>0</v>
      </c>
      <c r="I73" s="16"/>
      <c r="J73" s="16"/>
      <c r="K73" s="16"/>
      <c r="L73" s="16"/>
      <c r="M73" s="11"/>
    </row>
    <row r="74" spans="2:13">
      <c r="B74" s="831" t="s">
        <v>671</v>
      </c>
      <c r="C74" s="43"/>
      <c r="D74" s="43"/>
      <c r="E74" s="832"/>
      <c r="F74" s="43"/>
      <c r="G74" s="43"/>
      <c r="H74" s="598">
        <f>SUM(H71:H73)</f>
        <v>2481.1775890809981</v>
      </c>
      <c r="I74" s="16"/>
      <c r="J74" s="16"/>
      <c r="K74" s="16"/>
      <c r="L74" s="16"/>
      <c r="M74" s="11"/>
    </row>
    <row r="75" spans="2:13">
      <c r="B75" s="833" t="s">
        <v>513</v>
      </c>
      <c r="C75" s="919"/>
      <c r="D75" s="919"/>
      <c r="E75" s="987"/>
      <c r="F75" s="988"/>
      <c r="G75" s="919"/>
      <c r="H75" s="818">
        <f>H70+H74</f>
        <v>6128.4349286642482</v>
      </c>
      <c r="I75" s="16"/>
      <c r="J75" s="16"/>
      <c r="K75" s="16"/>
      <c r="L75" s="16"/>
      <c r="M75" s="11"/>
    </row>
    <row r="76" spans="2:13">
      <c r="B76" s="985" t="s">
        <v>672</v>
      </c>
      <c r="C76" s="135"/>
      <c r="D76" s="135"/>
      <c r="E76" s="472"/>
      <c r="F76" s="135"/>
      <c r="G76" s="135"/>
      <c r="H76" s="989">
        <f>E43+E60</f>
        <v>728.55732363761706</v>
      </c>
      <c r="I76" s="16"/>
      <c r="J76" s="16"/>
      <c r="K76" s="16"/>
      <c r="L76" s="16"/>
      <c r="M76" s="11"/>
    </row>
    <row r="77" spans="2:13">
      <c r="B77" s="985" t="s">
        <v>673</v>
      </c>
      <c r="C77" s="135"/>
      <c r="D77" s="135"/>
      <c r="E77" s="472"/>
      <c r="F77" s="135"/>
      <c r="G77" s="135"/>
      <c r="H77" s="990">
        <f>E49</f>
        <v>5.8806818181818175</v>
      </c>
      <c r="I77" s="16"/>
      <c r="J77" s="16"/>
      <c r="K77" s="16"/>
      <c r="L77" s="16"/>
      <c r="M77" s="11"/>
    </row>
    <row r="78" spans="2:13">
      <c r="B78" s="837" t="s">
        <v>514</v>
      </c>
      <c r="C78" s="919"/>
      <c r="D78" s="919"/>
      <c r="E78" s="987"/>
      <c r="F78" s="988"/>
      <c r="G78" s="919"/>
      <c r="H78" s="819">
        <f>H76+H77</f>
        <v>734.43800545579893</v>
      </c>
      <c r="I78" s="16"/>
      <c r="J78" s="16"/>
      <c r="K78" s="16"/>
      <c r="L78" s="16"/>
      <c r="M78" s="11"/>
    </row>
    <row r="79" spans="2:13">
      <c r="B79" s="264"/>
      <c r="C79" s="472"/>
      <c r="D79" s="474"/>
      <c r="E79" s="472"/>
      <c r="F79" s="10"/>
      <c r="G79" s="132"/>
      <c r="H79" s="473"/>
      <c r="I79" s="13"/>
      <c r="J79" s="13"/>
      <c r="K79" s="13"/>
      <c r="L79" s="13"/>
      <c r="M79" s="11"/>
    </row>
    <row r="80" spans="2:13">
      <c r="B80" s="10"/>
      <c r="C80" s="472"/>
      <c r="D80" s="472"/>
      <c r="E80" s="472"/>
      <c r="F80" s="10"/>
      <c r="G80" s="473"/>
      <c r="H80" s="473"/>
      <c r="I80" s="13"/>
      <c r="J80" s="13"/>
      <c r="K80" s="13"/>
      <c r="L80" s="13"/>
      <c r="M80" s="11"/>
    </row>
    <row r="81" spans="2:14">
      <c r="B81" s="10"/>
      <c r="C81" s="86"/>
      <c r="D81" s="86"/>
      <c r="E81" s="86"/>
      <c r="F81" s="86"/>
      <c r="H81" s="243"/>
      <c r="I81" s="11"/>
      <c r="J81" s="11"/>
      <c r="K81" s="11"/>
      <c r="L81" s="11"/>
      <c r="M81" s="11"/>
    </row>
    <row r="82" spans="2:14">
      <c r="B82" s="10"/>
      <c r="C82" s="462"/>
      <c r="D82" s="10"/>
      <c r="E82" s="10"/>
      <c r="F82" s="10"/>
      <c r="G82" s="462"/>
      <c r="H82" s="462"/>
      <c r="J82" s="11"/>
      <c r="K82" s="11"/>
      <c r="L82" s="11"/>
      <c r="M82" s="11"/>
      <c r="N82" s="11"/>
    </row>
    <row r="83" spans="2:14">
      <c r="B83" s="10"/>
      <c r="C83" s="10"/>
      <c r="D83" s="462"/>
      <c r="E83" s="10"/>
      <c r="F83" s="10"/>
      <c r="G83" s="10"/>
      <c r="H83" s="10"/>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79"/>
  <sheetViews>
    <sheetView showGridLines="0" view="pageLayout" topLeftCell="A27" workbookViewId="0">
      <selection activeCell="B41" sqref="B41"/>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16384" width="8.7109375" style="108"/>
  </cols>
  <sheetData>
    <row r="1" spans="2:17" ht="16" thickBot="1">
      <c r="F1" s="563"/>
      <c r="G1" s="1263" t="s">
        <v>512</v>
      </c>
      <c r="H1" s="1264"/>
    </row>
    <row r="2" spans="2:17" ht="25" customHeight="1">
      <c r="B2" s="1024" t="str">
        <f>'Workbook Index'!B47</f>
        <v>Potatoes</v>
      </c>
      <c r="C2" s="221"/>
      <c r="D2" s="221"/>
      <c r="E2" s="221"/>
    </row>
    <row r="3" spans="2:17" ht="33.5" customHeight="1">
      <c r="B3" s="1027" t="s">
        <v>716</v>
      </c>
      <c r="C3" s="132" t="s">
        <v>367</v>
      </c>
      <c r="E3" s="222" t="s">
        <v>14</v>
      </c>
      <c r="F3"/>
      <c r="G3"/>
      <c r="H3"/>
    </row>
    <row r="4" spans="2:17">
      <c r="B4" s="918"/>
      <c r="C4" s="132" t="s">
        <v>47</v>
      </c>
      <c r="D4" s="916"/>
      <c r="E4" s="1096">
        <f>'BW1-Bed and Row Spacing'!J29</f>
        <v>4840</v>
      </c>
      <c r="F4" s="135"/>
      <c r="G4" s="135"/>
      <c r="H4" s="135"/>
    </row>
    <row r="5" spans="2:17">
      <c r="B5" s="915"/>
      <c r="C5" s="132" t="s">
        <v>366</v>
      </c>
      <c r="D5" s="916"/>
      <c r="E5" s="1338" t="s">
        <v>834</v>
      </c>
      <c r="F5" s="1338"/>
      <c r="G5" s="1338"/>
      <c r="H5" s="1338"/>
    </row>
    <row r="6" spans="2:17" ht="14" customHeight="1">
      <c r="B6" s="223"/>
      <c r="C6" s="915"/>
      <c r="D6" s="916"/>
      <c r="E6" s="1338"/>
      <c r="F6" s="1338"/>
      <c r="G6" s="1338"/>
      <c r="H6" s="1338"/>
    </row>
    <row r="7" spans="2:17">
      <c r="B7" s="1032"/>
      <c r="C7" s="1033"/>
      <c r="D7" s="1033"/>
      <c r="E7" s="1033"/>
      <c r="F7" s="1033"/>
      <c r="G7" s="1033"/>
      <c r="H7" s="1033"/>
    </row>
    <row r="8" spans="2:17">
      <c r="B8" s="553" t="s">
        <v>517</v>
      </c>
      <c r="C8" s="492"/>
      <c r="D8" s="492"/>
      <c r="E8" s="492"/>
      <c r="F8" s="492"/>
      <c r="G8" s="492"/>
      <c r="H8" s="492"/>
    </row>
    <row r="9" spans="2:17" customFormat="1" ht="33" customHeight="1">
      <c r="B9" s="420" t="s">
        <v>711</v>
      </c>
      <c r="C9" s="421" t="s">
        <v>707</v>
      </c>
      <c r="D9" s="421" t="s">
        <v>708</v>
      </c>
      <c r="E9" s="421" t="s">
        <v>709</v>
      </c>
      <c r="F9" s="421" t="s">
        <v>710</v>
      </c>
      <c r="G9" s="919"/>
      <c r="H9" s="920"/>
      <c r="M9" s="112"/>
      <c r="N9" s="112"/>
      <c r="O9" s="112"/>
      <c r="P9" s="6"/>
      <c r="Q9" s="6"/>
    </row>
    <row r="10" spans="2:17" customFormat="1" ht="30">
      <c r="B10" s="993" t="s">
        <v>516</v>
      </c>
      <c r="C10" s="991" t="s">
        <v>849</v>
      </c>
      <c r="D10" s="991" t="s">
        <v>849</v>
      </c>
      <c r="E10" s="991" t="s">
        <v>849</v>
      </c>
      <c r="F10" s="991" t="s">
        <v>850</v>
      </c>
      <c r="G10" s="992"/>
      <c r="H10" s="462"/>
      <c r="M10" s="112"/>
      <c r="N10" s="112"/>
      <c r="O10" s="6"/>
      <c r="P10" s="6"/>
    </row>
    <row r="11" spans="2:17" ht="16" customHeight="1">
      <c r="B11" s="922" t="s">
        <v>181</v>
      </c>
      <c r="C11" s="999"/>
      <c r="D11" s="1000"/>
      <c r="E11" s="1000"/>
      <c r="F11" s="1001"/>
      <c r="G11" s="509"/>
      <c r="H11" s="509"/>
    </row>
    <row r="12" spans="2:17" ht="15" customHeight="1">
      <c r="B12" s="265" t="s">
        <v>145</v>
      </c>
      <c r="C12" s="512">
        <f>'BW2-Field Act. Labor &amp; Mach.'!I9</f>
        <v>9.23447</v>
      </c>
      <c r="D12" s="520">
        <f>'BW2-Field Act. Labor &amp; Mach.'!K9</f>
        <v>7.1626812745625896</v>
      </c>
      <c r="E12" s="520">
        <f>'BW2-Field Act. Labor &amp; Mach.'!L9</f>
        <v>6.5697668891297312</v>
      </c>
      <c r="F12" s="526"/>
      <c r="G12" s="465"/>
      <c r="H12" s="465"/>
    </row>
    <row r="13" spans="2:17" ht="15" customHeight="1">
      <c r="B13" s="132" t="s">
        <v>46</v>
      </c>
      <c r="C13" s="512">
        <f>'BW2-Field Act. Labor &amp; Mach.'!I10</f>
        <v>11.87289</v>
      </c>
      <c r="D13" s="520">
        <f>'BW2-Field Act. Labor &amp; Mach.'!K10</f>
        <v>16.900081383311999</v>
      </c>
      <c r="E13" s="520">
        <f>'BW2-Field Act. Labor &amp; Mach.'!L10</f>
        <v>23.703168100043012</v>
      </c>
      <c r="F13" s="526"/>
      <c r="G13" s="133"/>
      <c r="H13" s="465"/>
    </row>
    <row r="14" spans="2:17" ht="15" customHeight="1">
      <c r="B14" s="151" t="s">
        <v>69</v>
      </c>
      <c r="C14" s="512"/>
      <c r="D14" s="520"/>
      <c r="E14" s="520"/>
      <c r="F14" s="526">
        <f>'BW3-Variable Input'!C9</f>
        <v>116.66666666666667</v>
      </c>
      <c r="G14" s="133"/>
      <c r="H14" s="465"/>
    </row>
    <row r="15" spans="2:17" ht="15" customHeight="1">
      <c r="B15" s="132" t="s">
        <v>11</v>
      </c>
      <c r="C15" s="512">
        <f>'BW2-Field Act. Labor &amp; Mach.'!I13</f>
        <v>22.426569999999998</v>
      </c>
      <c r="D15" s="520">
        <f>'BW2-Field Act. Labor &amp; Mach.'!K13</f>
        <v>17.993866831056</v>
      </c>
      <c r="E15" s="520">
        <f>'BW2-Field Act. Labor &amp; Mach.'!L13</f>
        <v>44.771770188886023</v>
      </c>
      <c r="F15" s="526"/>
      <c r="G15" s="133"/>
      <c r="H15" s="463"/>
    </row>
    <row r="16" spans="2:17" ht="15" customHeight="1">
      <c r="B16" s="416" t="s">
        <v>12</v>
      </c>
      <c r="C16" s="513"/>
      <c r="D16" s="521">
        <f>'BW2-Field Act. Labor &amp; Mach.'!K14</f>
        <v>9.2140341759999984</v>
      </c>
      <c r="E16" s="521">
        <f>'BW2-Field Act. Labor &amp; Mach.'!L14</f>
        <v>29.935417361494395</v>
      </c>
      <c r="F16" s="527"/>
      <c r="G16" s="486"/>
      <c r="H16" s="485"/>
    </row>
    <row r="17" spans="2:8" ht="15" customHeight="1">
      <c r="B17" s="132"/>
      <c r="C17" s="133"/>
      <c r="D17" s="133"/>
      <c r="E17" s="133"/>
      <c r="F17" s="133"/>
      <c r="G17" s="133"/>
      <c r="H17" s="466"/>
    </row>
    <row r="18" spans="2:8" ht="15" customHeight="1">
      <c r="B18" s="921" t="s">
        <v>10</v>
      </c>
      <c r="C18" s="515"/>
      <c r="D18" s="438"/>
      <c r="E18" s="438"/>
      <c r="F18" s="529"/>
      <c r="G18" s="422"/>
      <c r="H18" s="494"/>
    </row>
    <row r="19" spans="2:8" ht="15" customHeight="1">
      <c r="B19" s="132" t="str">
        <f>'BW2-Field Act. Labor &amp; Mach.'!B24</f>
        <v xml:space="preserve">Potatoes, cut/chit &amp; plant </v>
      </c>
      <c r="C19" s="512">
        <f>'BW2-Field Act. Labor &amp; Mach.'!I24</f>
        <v>408.95510000000002</v>
      </c>
      <c r="D19" s="520">
        <f>'BW2-Field Act. Labor &amp; Mach.'!K24</f>
        <v>17.163493728983763</v>
      </c>
      <c r="E19" s="520">
        <f>'BW2-Field Act. Labor &amp; Mach.'!L24</f>
        <v>31.205237133547332</v>
      </c>
      <c r="F19" s="526"/>
      <c r="G19" s="133"/>
      <c r="H19" s="463"/>
    </row>
    <row r="20" spans="2:8" ht="15" customHeight="1">
      <c r="B20" s="151" t="s">
        <v>313</v>
      </c>
      <c r="C20" s="516"/>
      <c r="D20" s="520"/>
      <c r="E20" s="520"/>
      <c r="F20" s="526">
        <f>'BW3-Variable Input'!C23*(16/20)</f>
        <v>100.07630769230771</v>
      </c>
      <c r="G20" s="133"/>
      <c r="H20" s="463"/>
    </row>
    <row r="21" spans="2:8" ht="15" customHeight="1">
      <c r="B21" s="151" t="s">
        <v>315</v>
      </c>
      <c r="C21" s="516"/>
      <c r="D21" s="520"/>
      <c r="E21" s="520"/>
      <c r="F21" s="526">
        <f>'BW3-Variable Input'!C13</f>
        <v>155</v>
      </c>
      <c r="G21" s="1341"/>
      <c r="H21" s="1341"/>
    </row>
    <row r="22" spans="2:8" ht="15" customHeight="1">
      <c r="B22" s="418" t="s">
        <v>65</v>
      </c>
      <c r="C22" s="543"/>
      <c r="D22" s="521"/>
      <c r="E22" s="521"/>
      <c r="F22" s="527">
        <f>'BW3-Variable Input'!H169</f>
        <v>1660</v>
      </c>
      <c r="G22" s="1342"/>
      <c r="H22" s="1342"/>
    </row>
    <row r="23" spans="2:8" ht="15" customHeight="1">
      <c r="B23" s="132"/>
      <c r="C23" s="133"/>
      <c r="D23" s="133"/>
      <c r="E23" s="133"/>
      <c r="F23" s="133"/>
      <c r="G23" s="133"/>
      <c r="H23" s="466"/>
    </row>
    <row r="24" spans="2:8" ht="15" customHeight="1">
      <c r="B24" s="921" t="s">
        <v>37</v>
      </c>
      <c r="C24" s="515"/>
      <c r="D24" s="438"/>
      <c r="E24" s="438"/>
      <c r="F24" s="529"/>
      <c r="G24" s="422"/>
      <c r="H24" s="494"/>
    </row>
    <row r="25" spans="2:8" ht="15" customHeight="1">
      <c r="B25" s="462" t="s">
        <v>179</v>
      </c>
      <c r="C25" s="512">
        <f>'BW2-Field Act. Labor &amp; Mach.'!$I$31*2</f>
        <v>10.55368</v>
      </c>
      <c r="D25" s="520">
        <f>'BW2-Field Act. Labor &amp; Mach.'!K31*2</f>
        <v>1.6570295666513035</v>
      </c>
      <c r="E25" s="520">
        <f>'BW2-Field Act. Labor &amp; Mach.'!L31*2</f>
        <v>27.363002680965153</v>
      </c>
      <c r="F25" s="526"/>
      <c r="G25" s="133"/>
      <c r="H25" s="133"/>
    </row>
    <row r="26" spans="2:8" ht="15" customHeight="1">
      <c r="B26" s="151" t="str">
        <f>'BW5-Irrigation'!$B$8</f>
        <v>Irrigation supply cost</v>
      </c>
      <c r="C26" s="512"/>
      <c r="D26" s="520"/>
      <c r="E26" s="520"/>
      <c r="F26" s="526">
        <f>'BW5-Irrigation'!$E$8</f>
        <v>32.773534158149545</v>
      </c>
      <c r="G26" s="1029" t="s">
        <v>720</v>
      </c>
      <c r="H26" s="133"/>
    </row>
    <row r="27" spans="2:8" ht="15" customHeight="1">
      <c r="B27" s="132" t="str">
        <f>'BW5-Irrigation'!$B$9</f>
        <v>Irrigation set-up labor cost</v>
      </c>
      <c r="C27" s="512">
        <f>'BW5-Irrigation'!$E$9</f>
        <v>50.735370890410955</v>
      </c>
      <c r="D27" s="520"/>
      <c r="E27" s="520"/>
      <c r="F27" s="526"/>
      <c r="G27" s="1029" t="s">
        <v>720</v>
      </c>
      <c r="H27" s="133"/>
    </row>
    <row r="28" spans="2:8" ht="15" customHeight="1">
      <c r="B28" s="132" t="s">
        <v>294</v>
      </c>
      <c r="C28" s="512">
        <f>'BW2-Field Act. Labor &amp; Mach.'!I39*'BW5-Irrigation'!C34</f>
        <v>158.30520000000001</v>
      </c>
      <c r="D28" s="520"/>
      <c r="E28" s="520"/>
      <c r="F28" s="526"/>
      <c r="G28" s="133"/>
      <c r="H28" s="463"/>
    </row>
    <row r="29" spans="2:8" ht="15" customHeight="1">
      <c r="B29" s="462" t="s">
        <v>198</v>
      </c>
      <c r="C29" s="512">
        <f>'BW2-Field Act. Labor &amp; Mach.'!I48*2</f>
        <v>29.022620000000003</v>
      </c>
      <c r="D29" s="520">
        <f>'BW2-Field Act. Labor &amp; Mach.'!K48*2</f>
        <v>20.596192474780516</v>
      </c>
      <c r="E29" s="520">
        <f>'BW2-Field Act. Labor &amp; Mach.'!L48*2</f>
        <v>174.47128456025675</v>
      </c>
      <c r="F29" s="526"/>
      <c r="G29" s="133"/>
      <c r="H29" s="463"/>
    </row>
    <row r="30" spans="2:8" ht="15" customHeight="1">
      <c r="B30" s="462" t="s">
        <v>230</v>
      </c>
      <c r="C30" s="517">
        <v>6.6</v>
      </c>
      <c r="D30" s="523">
        <f>'BW2-Field Act. Labor &amp; Mach.'!K32</f>
        <v>0.70423756582680397</v>
      </c>
      <c r="E30" s="523">
        <f>'BW2-Field Act. Labor &amp; Mach.'!L32</f>
        <v>11.629276139410191</v>
      </c>
      <c r="F30" s="530"/>
      <c r="G30" s="133"/>
      <c r="H30" s="463"/>
    </row>
    <row r="31" spans="2:8" ht="15" customHeight="1">
      <c r="B31" s="482" t="s">
        <v>308</v>
      </c>
      <c r="C31" s="517"/>
      <c r="D31" s="523"/>
      <c r="E31" s="523"/>
      <c r="F31" s="530">
        <v>8.8000000000000007</v>
      </c>
      <c r="G31" s="133"/>
      <c r="H31" s="463"/>
    </row>
    <row r="32" spans="2:8" ht="15" customHeight="1">
      <c r="B32" s="462" t="s">
        <v>199</v>
      </c>
      <c r="C32" s="512">
        <f>'BW2-Field Act. Labor &amp; Mach.'!I34*3</f>
        <v>296.82225</v>
      </c>
      <c r="D32" s="520"/>
      <c r="E32" s="520"/>
      <c r="F32" s="526"/>
      <c r="G32" s="133"/>
      <c r="H32" s="133"/>
    </row>
    <row r="33" spans="2:8" ht="15" customHeight="1">
      <c r="B33" s="462" t="s">
        <v>326</v>
      </c>
      <c r="C33" s="512">
        <f>'BW2-Field Act. Labor &amp; Mach.'!I37*3</f>
        <v>39.576300000000003</v>
      </c>
      <c r="D33" s="520">
        <f>'BW2-Field Act. Labor &amp; Mach.'!K37*3</f>
        <v>30.546664935780097</v>
      </c>
      <c r="E33" s="520">
        <f>'BW2-Field Act. Labor &amp; Mach.'!L37*3</f>
        <v>39.314799296778247</v>
      </c>
      <c r="F33" s="526"/>
      <c r="G33" s="133"/>
      <c r="H33" s="133"/>
    </row>
    <row r="34" spans="2:8" ht="15" customHeight="1">
      <c r="B34" s="414" t="s">
        <v>501</v>
      </c>
      <c r="C34" s="512"/>
      <c r="D34" s="520"/>
      <c r="E34" s="520"/>
      <c r="F34" s="526">
        <f>'BW3-Variable Input'!C61</f>
        <v>119.42617652777778</v>
      </c>
      <c r="G34" s="473"/>
      <c r="H34" s="479"/>
    </row>
    <row r="35" spans="2:8" ht="15" customHeight="1">
      <c r="B35" s="10" t="s">
        <v>300</v>
      </c>
      <c r="C35" s="532">
        <f>'BW2-Field Act. Labor &amp; Mach.'!$I$40*('BW5-Irrigation'!D34+'BW5-Irrigation'!E34)</f>
        <v>68.598920000000007</v>
      </c>
      <c r="D35" s="535">
        <f>'BW2-Field Act. Labor &amp; Mach.'!K40*('BW5-Irrigation'!C34+'BW5-Irrigation'!D34+'BW5-Irrigation'!E34)</f>
        <v>173.37681246881701</v>
      </c>
      <c r="E35" s="535">
        <f>'BW2-Field Act. Labor &amp; Mach.'!L40*('BW5-Irrigation'!C34+'BW5-Irrigation'!D34+'BW5-Irrigation'!E34)</f>
        <v>225.2590213472821</v>
      </c>
      <c r="F35" s="538"/>
      <c r="G35" s="1004"/>
      <c r="H35" s="133"/>
    </row>
    <row r="36" spans="2:8" ht="15" customHeight="1">
      <c r="B36" s="481" t="s">
        <v>611</v>
      </c>
      <c r="C36" s="532"/>
      <c r="D36" s="535"/>
      <c r="E36" s="535"/>
      <c r="F36" s="538">
        <f>'BW3-Variable Input'!$C$14*'BW5-Irrigation'!D34</f>
        <v>72</v>
      </c>
      <c r="G36" s="1029" t="s">
        <v>851</v>
      </c>
      <c r="H36" s="133"/>
    </row>
    <row r="37" spans="2:8" ht="15" customHeight="1">
      <c r="B37" s="12" t="s">
        <v>612</v>
      </c>
      <c r="C37" s="532"/>
      <c r="D37" s="535"/>
      <c r="E37" s="535"/>
      <c r="F37" s="538">
        <f>'BW3-Variable Input'!$C$15*'BW5-Irrigation'!E34</f>
        <v>34</v>
      </c>
      <c r="G37" s="1029" t="s">
        <v>851</v>
      </c>
      <c r="H37" s="133"/>
    </row>
    <row r="38" spans="2:8" ht="15" customHeight="1">
      <c r="B38" s="490" t="s">
        <v>616</v>
      </c>
      <c r="C38" s="518"/>
      <c r="D38" s="524"/>
      <c r="E38" s="524"/>
      <c r="F38" s="531">
        <f>'BW3-Variable Input'!$C$16*'BW5-Irrigation'!F34</f>
        <v>19.5</v>
      </c>
      <c r="G38" s="1030" t="s">
        <v>851</v>
      </c>
      <c r="H38" s="485"/>
    </row>
    <row r="39" spans="2:8" s="453" customFormat="1" ht="15" customHeight="1">
      <c r="B39" s="824" t="s">
        <v>508</v>
      </c>
      <c r="C39" s="444">
        <f>SUM(C12:C16, C19:C22, C25:C38)</f>
        <v>1112.7033708904107</v>
      </c>
      <c r="D39" s="444">
        <f>SUM(D12:D16, D19:D22,D25:D38)</f>
        <v>295.31509440577008</v>
      </c>
      <c r="E39" s="444">
        <f>SUM(E12:E16, E19:E22,E25:E38)</f>
        <v>614.22274369779291</v>
      </c>
      <c r="F39" s="444">
        <f>SUM(F12:F16, F19:F22,F25:F38)</f>
        <v>2318.2426850449019</v>
      </c>
      <c r="G39" s="445" t="s">
        <v>4</v>
      </c>
      <c r="H39" s="446">
        <f>SUM(C39:F39)</f>
        <v>4340.4838940388754</v>
      </c>
    </row>
    <row r="40" spans="2:8" s="120" customFormat="1" ht="15" customHeight="1">
      <c r="B40" s="593"/>
      <c r="C40" s="133"/>
      <c r="D40" s="133"/>
      <c r="E40" s="133"/>
      <c r="F40" s="133"/>
      <c r="G40" s="924"/>
      <c r="H40" s="265"/>
    </row>
    <row r="41" spans="2:8" s="119" customFormat="1" ht="15" customHeight="1">
      <c r="B41" s="116" t="s">
        <v>914</v>
      </c>
      <c r="C41" s="133"/>
      <c r="D41" s="133"/>
      <c r="E41" s="133"/>
      <c r="F41" s="133"/>
      <c r="G41" s="924"/>
      <c r="H41" s="265"/>
    </row>
    <row r="42" spans="2:8" ht="15" customHeight="1">
      <c r="B42" s="921" t="s">
        <v>3</v>
      </c>
      <c r="C42" s="514"/>
      <c r="D42" s="522"/>
      <c r="E42" s="522"/>
      <c r="F42" s="528"/>
      <c r="G42" s="983"/>
      <c r="H42" s="491"/>
    </row>
    <row r="43" spans="2:8" ht="15" customHeight="1">
      <c r="B43" s="132" t="s">
        <v>620</v>
      </c>
      <c r="C43" s="512">
        <f>'BW6-Harvest and Wash-Pack'!D29+'BW2-Field Act. Labor &amp; Mach.'!I59+'BW2-Field Act. Labor &amp; Mach.'!I54</f>
        <v>412.91272999999995</v>
      </c>
      <c r="D43" s="520">
        <f>'BW2-Field Act. Labor &amp; Mach.'!K59+'BW2-Field Act. Labor &amp; Mach.'!K54</f>
        <v>9.2867119572494339</v>
      </c>
      <c r="E43" s="520">
        <f>'BW2-Field Act. Labor &amp; Mach.'!L59+'BW2-Field Act. Labor &amp; Mach.'!L54</f>
        <v>17.377878365164637</v>
      </c>
      <c r="F43" s="526"/>
      <c r="G43" s="1029" t="s">
        <v>852</v>
      </c>
      <c r="H43" s="265"/>
    </row>
    <row r="44" spans="2:8" ht="15" customHeight="1">
      <c r="B44" s="473" t="s">
        <v>349</v>
      </c>
      <c r="C44" s="512">
        <f>'BW6-Harvest and Wash-Pack'!F29</f>
        <v>395.76299999999998</v>
      </c>
      <c r="D44" s="520"/>
      <c r="E44" s="520"/>
      <c r="F44" s="526"/>
      <c r="G44" s="1029" t="s">
        <v>852</v>
      </c>
      <c r="H44" s="265"/>
    </row>
    <row r="45" spans="2:8" ht="15" customHeight="1">
      <c r="B45" s="418" t="str">
        <f>'BW3-Variable Input'!$B$69</f>
        <v>Paper produce sacks</v>
      </c>
      <c r="C45" s="513"/>
      <c r="D45" s="521"/>
      <c r="E45" s="521"/>
      <c r="F45" s="527">
        <f>'BW3-Variable Input'!$C$69</f>
        <v>135.66535714285715</v>
      </c>
      <c r="G45" s="485"/>
      <c r="H45" s="485"/>
    </row>
    <row r="46" spans="2:8" s="453" customFormat="1" ht="15" customHeight="1">
      <c r="B46" s="824" t="s">
        <v>508</v>
      </c>
      <c r="C46" s="444">
        <f>SUM(C43:C45)</f>
        <v>808.67572999999993</v>
      </c>
      <c r="D46" s="444">
        <f>SUM(D43:D45)</f>
        <v>9.2867119572494339</v>
      </c>
      <c r="E46" s="444">
        <f>SUM(E43:E45)</f>
        <v>17.377878365164637</v>
      </c>
      <c r="F46" s="444">
        <f>SUM(F43:F45)</f>
        <v>135.66535714285715</v>
      </c>
      <c r="G46" s="445" t="s">
        <v>4</v>
      </c>
      <c r="H46" s="446">
        <f>SUM(C46:F46)</f>
        <v>971.00567746527111</v>
      </c>
    </row>
    <row r="47" spans="2:8" s="120" customFormat="1" ht="15" customHeight="1">
      <c r="B47" s="593"/>
      <c r="C47" s="133"/>
      <c r="D47" s="133"/>
      <c r="E47" s="133"/>
      <c r="F47" s="133"/>
      <c r="G47" s="924"/>
      <c r="H47" s="265"/>
    </row>
    <row r="48" spans="2:8" s="119" customFormat="1" ht="15" customHeight="1">
      <c r="B48" s="116" t="s">
        <v>662</v>
      </c>
      <c r="C48" s="133"/>
      <c r="D48" s="133"/>
      <c r="E48" s="133"/>
      <c r="F48" s="133"/>
      <c r="G48" s="924"/>
      <c r="H48" s="265"/>
    </row>
    <row r="49" spans="2:8" ht="15" customHeight="1">
      <c r="B49" s="921" t="s">
        <v>663</v>
      </c>
      <c r="C49" s="515"/>
      <c r="D49" s="438"/>
      <c r="E49" s="438"/>
      <c r="F49" s="529"/>
      <c r="G49" s="494"/>
      <c r="H49" s="494"/>
    </row>
    <row r="50" spans="2:8" ht="15" customHeight="1">
      <c r="B50" s="132" t="s">
        <v>42</v>
      </c>
      <c r="C50" s="512">
        <f>'BW2-Field Act. Labor &amp; Mach.'!I62</f>
        <v>10.55368</v>
      </c>
      <c r="D50" s="520">
        <f>'BW2-Field Act. Labor &amp; Mach.'!K62</f>
        <v>8.1859214566429603</v>
      </c>
      <c r="E50" s="520">
        <f>'BW2-Field Act. Labor &amp; Mach.'!L62</f>
        <v>7.508305016148265</v>
      </c>
      <c r="F50" s="526"/>
      <c r="G50" s="463"/>
      <c r="H50" s="463"/>
    </row>
    <row r="51" spans="2:8" ht="15" customHeight="1">
      <c r="B51" s="462" t="s">
        <v>43</v>
      </c>
      <c r="C51" s="512">
        <f>'BW2-Field Act. Labor &amp; Mach.'!$I$66</f>
        <v>5.27684</v>
      </c>
      <c r="D51" s="520">
        <f>'BW2-Field Act. Labor &amp; Mach.'!K66</f>
        <v>4.7393418269465482</v>
      </c>
      <c r="E51" s="520">
        <f>'BW2-Field Act. Labor &amp; Mach.'!L66</f>
        <v>4.8215303303156709</v>
      </c>
      <c r="F51" s="526"/>
      <c r="G51" s="463"/>
      <c r="H51" s="463"/>
    </row>
    <row r="52" spans="2:8" ht="15" customHeight="1">
      <c r="B52" s="132" t="s">
        <v>150</v>
      </c>
      <c r="C52" s="512">
        <f>'BW2-Field Act. Labor &amp; Mach.'!$I$65</f>
        <v>42.21472</v>
      </c>
      <c r="D52" s="520">
        <f>'BW2-Field Act. Labor &amp; Mach.'!K65</f>
        <v>3.4075700159999998</v>
      </c>
      <c r="E52" s="520">
        <f>'BW2-Field Act. Labor &amp; Mach.'!L65</f>
        <v>2.89283314099518</v>
      </c>
      <c r="F52" s="526"/>
      <c r="G52" s="463"/>
      <c r="H52" s="463"/>
    </row>
    <row r="53" spans="2:8" ht="15" customHeight="1">
      <c r="B53" s="462" t="s">
        <v>44</v>
      </c>
      <c r="C53" s="512">
        <f>'BW2-Field Act. Labor &amp; Mach.'!$I$67</f>
        <v>5.27684</v>
      </c>
      <c r="D53" s="520">
        <f>'BW2-Field Act. Labor &amp; Mach.'!K67</f>
        <v>4.5754035882945541</v>
      </c>
      <c r="E53" s="520">
        <f>'BW2-Field Act. Labor &amp; Mach.'!L67</f>
        <v>8.7882358546602415</v>
      </c>
      <c r="F53" s="526"/>
      <c r="G53" s="463"/>
      <c r="H53" s="463"/>
    </row>
    <row r="54" spans="2:8" ht="15" customHeight="1">
      <c r="B54" s="462" t="s">
        <v>45</v>
      </c>
      <c r="C54" s="512">
        <f>'BW2-Field Act. Labor &amp; Mach.'!$I$69</f>
        <v>14.511310000000002</v>
      </c>
      <c r="D54" s="520">
        <f>'BW2-Field Act. Labor &amp; Mach.'!K69</f>
        <v>5.9046727740142977</v>
      </c>
      <c r="E54" s="520">
        <f>'BW2-Field Act. Labor &amp; Mach.'!L69</f>
        <v>8.041581086300118</v>
      </c>
      <c r="F54" s="526"/>
      <c r="G54" s="463"/>
      <c r="H54" s="463"/>
    </row>
    <row r="55" spans="2:8" ht="15" customHeight="1">
      <c r="B55" s="500" t="str">
        <f>'BW3-Variable Input'!$B$33</f>
        <v>Winter cover crop seed</v>
      </c>
      <c r="C55" s="513"/>
      <c r="D55" s="521"/>
      <c r="E55" s="521"/>
      <c r="F55" s="527">
        <f>'BW3-Variable Input'!$C$33</f>
        <v>31.793452380952385</v>
      </c>
      <c r="G55" s="485"/>
      <c r="H55" s="485"/>
    </row>
    <row r="56" spans="2:8" s="453" customFormat="1" ht="15" customHeight="1">
      <c r="B56" s="824" t="s">
        <v>508</v>
      </c>
      <c r="C56" s="444">
        <f>SUM(C50:C55)</f>
        <v>77.833390000000009</v>
      </c>
      <c r="D56" s="444">
        <f>SUM(D50:D55)</f>
        <v>26.812909661898363</v>
      </c>
      <c r="E56" s="444">
        <f>SUM(E50:E55)</f>
        <v>32.052485428419473</v>
      </c>
      <c r="F56" s="444">
        <f>SUM(F50:F55)</f>
        <v>31.793452380952385</v>
      </c>
      <c r="G56" s="447" t="s">
        <v>4</v>
      </c>
      <c r="H56" s="446">
        <f>SUM(C56:F56)</f>
        <v>168.49223747127022</v>
      </c>
    </row>
    <row r="57" spans="2:8" s="120" customFormat="1" ht="15" customHeight="1">
      <c r="B57" s="593"/>
      <c r="C57" s="133"/>
      <c r="D57" s="133"/>
      <c r="E57" s="133"/>
      <c r="F57" s="133"/>
      <c r="G57" s="463"/>
      <c r="H57" s="463"/>
    </row>
    <row r="58" spans="2:8" s="453" customFormat="1" ht="15" customHeight="1">
      <c r="B58" s="116" t="s">
        <v>515</v>
      </c>
      <c r="C58" s="444">
        <f>C39+C46+C56</f>
        <v>1999.2124908904107</v>
      </c>
      <c r="D58" s="444">
        <f>D39+D46+D56</f>
        <v>331.41471602491788</v>
      </c>
      <c r="E58" s="444">
        <f>E39+E46+E56</f>
        <v>663.653107491377</v>
      </c>
      <c r="F58" s="444">
        <f>F39+F46+F56</f>
        <v>2485.701494568711</v>
      </c>
      <c r="G58" s="447" t="s">
        <v>4</v>
      </c>
      <c r="H58" s="446">
        <f>SUM(C58:F58)</f>
        <v>5479.9818089754162</v>
      </c>
    </row>
    <row r="59" spans="2:8" ht="15" customHeight="1">
      <c r="B59" s="114"/>
      <c r="C59" s="133"/>
      <c r="D59" s="133"/>
      <c r="E59" s="133"/>
      <c r="F59" s="133"/>
      <c r="G59" s="463"/>
      <c r="H59" s="463"/>
    </row>
    <row r="60" spans="2:8">
      <c r="B60" s="1032"/>
      <c r="C60" s="1033"/>
      <c r="D60" s="1033"/>
      <c r="E60" s="1033"/>
      <c r="F60" s="1033"/>
      <c r="G60" s="1033"/>
      <c r="H60" s="1033"/>
    </row>
    <row r="61" spans="2:8">
      <c r="B61" s="916"/>
      <c r="C61" s="916"/>
      <c r="D61" s="916"/>
      <c r="E61" s="916"/>
      <c r="F61" s="916"/>
      <c r="G61" s="916"/>
      <c r="H61" s="916"/>
    </row>
    <row r="62" spans="2:8">
      <c r="B62" s="116" t="s">
        <v>664</v>
      </c>
      <c r="C62" s="916"/>
      <c r="D62" s="916"/>
      <c r="E62" s="916"/>
      <c r="F62" s="916"/>
      <c r="G62" s="916"/>
      <c r="H62" s="916"/>
    </row>
    <row r="63" spans="2:8">
      <c r="B63" s="985" t="s">
        <v>668</v>
      </c>
      <c r="C63" s="916"/>
      <c r="D63" s="916"/>
      <c r="E63" s="916"/>
      <c r="F63" s="916"/>
      <c r="G63" s="916"/>
      <c r="H63" s="986">
        <f>C39+C56</f>
        <v>1190.5367608904107</v>
      </c>
    </row>
    <row r="64" spans="2:8">
      <c r="B64" s="135" t="s">
        <v>667</v>
      </c>
      <c r="C64" s="916"/>
      <c r="D64" s="916"/>
      <c r="E64" s="916"/>
      <c r="F64" s="916"/>
      <c r="G64" s="916"/>
      <c r="H64" s="986">
        <f>D39+D56</f>
        <v>322.12800406766843</v>
      </c>
    </row>
    <row r="65" spans="2:8" ht="15" customHeight="1">
      <c r="B65" s="985" t="s">
        <v>669</v>
      </c>
      <c r="C65" s="469"/>
      <c r="D65" s="133"/>
      <c r="E65" s="444"/>
      <c r="F65" s="464"/>
      <c r="G65" s="442"/>
      <c r="H65" s="463">
        <f>F39+F56</f>
        <v>2350.0361374258541</v>
      </c>
    </row>
    <row r="66" spans="2:8" ht="15" customHeight="1">
      <c r="B66" s="831" t="s">
        <v>666</v>
      </c>
      <c r="C66" s="469"/>
      <c r="D66" s="469"/>
      <c r="E66" s="592"/>
      <c r="F66" s="464"/>
      <c r="G66" s="442"/>
      <c r="H66" s="848">
        <f>SUM(H63:H65)</f>
        <v>3862.7009023839332</v>
      </c>
    </row>
    <row r="67" spans="2:8" ht="15" customHeight="1">
      <c r="B67" s="985" t="s">
        <v>680</v>
      </c>
      <c r="C67" s="469"/>
      <c r="D67" s="469"/>
      <c r="E67" s="469"/>
      <c r="F67" s="132"/>
      <c r="G67" s="442"/>
      <c r="H67" s="463">
        <f>C46</f>
        <v>808.67572999999993</v>
      </c>
    </row>
    <row r="68" spans="2:8" ht="15" customHeight="1">
      <c r="B68" s="985" t="s">
        <v>445</v>
      </c>
      <c r="C68" s="469"/>
      <c r="D68" s="469"/>
      <c r="E68" s="469"/>
      <c r="F68" s="132"/>
      <c r="G68" s="442"/>
      <c r="H68" s="463">
        <f>D46</f>
        <v>9.2867119572494339</v>
      </c>
    </row>
    <row r="69" spans="2:8" ht="15" customHeight="1">
      <c r="B69" s="985" t="s">
        <v>670</v>
      </c>
      <c r="C69" s="469"/>
      <c r="D69" s="444"/>
      <c r="E69" s="469"/>
      <c r="F69" s="132"/>
      <c r="G69" s="132"/>
      <c r="H69" s="463">
        <f>F46</f>
        <v>135.66535714285715</v>
      </c>
    </row>
    <row r="70" spans="2:8" ht="15" customHeight="1">
      <c r="B70" s="831" t="s">
        <v>671</v>
      </c>
      <c r="C70" s="43"/>
      <c r="D70" s="43"/>
      <c r="E70" s="832"/>
      <c r="F70" s="43"/>
      <c r="G70" s="43"/>
      <c r="H70" s="598">
        <f>SUM(H67:H69)</f>
        <v>953.62779910010647</v>
      </c>
    </row>
    <row r="71" spans="2:8" ht="15" customHeight="1">
      <c r="B71" s="833" t="s">
        <v>513</v>
      </c>
      <c r="C71" s="919"/>
      <c r="D71" s="919"/>
      <c r="E71" s="987"/>
      <c r="F71" s="988"/>
      <c r="G71" s="919"/>
      <c r="H71" s="818">
        <f>H66+H70</f>
        <v>4816.3287014840398</v>
      </c>
    </row>
    <row r="72" spans="2:8" ht="15" customHeight="1">
      <c r="B72" s="985" t="s">
        <v>672</v>
      </c>
      <c r="C72" s="135"/>
      <c r="D72" s="135"/>
      <c r="E72" s="472"/>
      <c r="F72" s="135"/>
      <c r="G72" s="135"/>
      <c r="H72" s="989">
        <f>E39+E56</f>
        <v>646.27522912621237</v>
      </c>
    </row>
    <row r="73" spans="2:8" ht="15" customHeight="1">
      <c r="B73" s="985" t="s">
        <v>673</v>
      </c>
      <c r="C73" s="135"/>
      <c r="D73" s="135"/>
      <c r="E73" s="472"/>
      <c r="F73" s="135"/>
      <c r="G73" s="135"/>
      <c r="H73" s="990">
        <f>E46</f>
        <v>17.377878365164637</v>
      </c>
    </row>
    <row r="74" spans="2:8" ht="15" customHeight="1">
      <c r="B74" s="837" t="s">
        <v>514</v>
      </c>
      <c r="C74" s="919"/>
      <c r="D74" s="919"/>
      <c r="E74" s="987"/>
      <c r="F74" s="988"/>
      <c r="G74" s="919"/>
      <c r="H74" s="819">
        <f>H72+H73</f>
        <v>663.653107491377</v>
      </c>
    </row>
    <row r="75" spans="2:8" ht="15" customHeight="1">
      <c r="B75" s="264"/>
      <c r="C75" s="469"/>
      <c r="D75" s="242"/>
      <c r="E75" s="469"/>
      <c r="F75" s="132"/>
      <c r="G75" s="132"/>
      <c r="H75" s="442"/>
    </row>
    <row r="76" spans="2:8">
      <c r="B76" s="132"/>
      <c r="C76" s="469"/>
      <c r="D76" s="469"/>
      <c r="E76" s="469"/>
      <c r="F76" s="132"/>
      <c r="G76" s="442"/>
      <c r="H76" s="442"/>
    </row>
    <row r="77" spans="2:8">
      <c r="B77" s="132"/>
      <c r="C77" s="132"/>
      <c r="D77" s="132"/>
      <c r="E77" s="132"/>
      <c r="F77" s="132"/>
      <c r="G77" s="442"/>
      <c r="H77" s="442"/>
    </row>
    <row r="78" spans="2:8">
      <c r="B78" s="110"/>
      <c r="C78" s="110"/>
      <c r="D78" s="109"/>
      <c r="E78" s="110"/>
      <c r="F78" s="110"/>
      <c r="G78" s="110"/>
      <c r="H78" s="109"/>
    </row>
    <row r="79" spans="2:8">
      <c r="B79" s="110"/>
      <c r="C79" s="133"/>
      <c r="D79" s="133"/>
      <c r="E79" s="133"/>
      <c r="F79" s="133"/>
      <c r="H79" s="243"/>
    </row>
  </sheetData>
  <sheetProtection sheet="1" objects="1" scenarios="1"/>
  <mergeCells count="3">
    <mergeCell ref="G1:H1"/>
    <mergeCell ref="E5:H6"/>
    <mergeCell ref="G21:H22"/>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7"/>
  <sheetViews>
    <sheetView showGridLines="0" view="pageLayout" topLeftCell="A28" workbookViewId="0">
      <selection activeCell="B39" sqref="B39"/>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Index'!B48</f>
        <v>Potatoes, Sweet</v>
      </c>
      <c r="C2" s="221"/>
      <c r="D2" s="221"/>
      <c r="E2" s="221"/>
      <c r="I2" s="120"/>
      <c r="J2" s="120"/>
      <c r="K2" s="120"/>
      <c r="L2" s="109"/>
      <c r="M2" s="109"/>
      <c r="N2" s="109"/>
    </row>
    <row r="3" spans="2:19" ht="33.5" customHeight="1">
      <c r="B3" s="1027" t="s">
        <v>716</v>
      </c>
      <c r="C3" s="132" t="s">
        <v>367</v>
      </c>
      <c r="E3" s="222" t="s">
        <v>14</v>
      </c>
      <c r="F3"/>
      <c r="G3"/>
      <c r="H3"/>
      <c r="L3" s="109"/>
      <c r="M3" s="117"/>
      <c r="N3" s="129"/>
      <c r="O3" s="112"/>
      <c r="P3" s="112"/>
      <c r="Q3" s="112"/>
      <c r="R3" s="112"/>
      <c r="S3" s="112"/>
    </row>
    <row r="4" spans="2:19">
      <c r="B4" s="918"/>
      <c r="C4" s="132" t="s">
        <v>47</v>
      </c>
      <c r="D4" s="916"/>
      <c r="E4" s="1068">
        <f>'BW1-Bed and Row Spacing'!J30</f>
        <v>2074.2857142857142</v>
      </c>
      <c r="F4" s="135"/>
      <c r="G4" s="135"/>
      <c r="H4" s="135"/>
      <c r="L4" s="109"/>
      <c r="M4" s="110"/>
      <c r="N4" s="111"/>
      <c r="O4" s="112"/>
      <c r="P4" s="112"/>
      <c r="Q4" s="112"/>
      <c r="R4" s="112"/>
      <c r="S4" s="112"/>
    </row>
    <row r="5" spans="2:19" ht="12" customHeight="1">
      <c r="B5" s="915"/>
      <c r="C5" s="132" t="s">
        <v>366</v>
      </c>
      <c r="D5" s="916"/>
      <c r="E5" s="1340" t="s">
        <v>835</v>
      </c>
      <c r="F5" s="1340"/>
      <c r="G5" s="1340"/>
      <c r="H5" s="1340"/>
      <c r="L5" s="127"/>
      <c r="M5" s="110"/>
      <c r="N5" s="111"/>
      <c r="O5" s="112"/>
      <c r="P5" s="112"/>
      <c r="Q5" s="112"/>
      <c r="R5" s="112"/>
      <c r="S5" s="112"/>
    </row>
    <row r="6" spans="2:19" ht="14" customHeight="1">
      <c r="B6" s="223"/>
      <c r="C6" s="915"/>
      <c r="D6" s="916"/>
      <c r="E6" s="1340"/>
      <c r="F6" s="1340"/>
      <c r="G6" s="1340"/>
      <c r="H6" s="1340"/>
      <c r="L6" s="112"/>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4" customHeight="1">
      <c r="B11" s="922" t="s">
        <v>181</v>
      </c>
      <c r="C11" s="999"/>
      <c r="D11" s="1000"/>
      <c r="E11" s="1000"/>
      <c r="F11" s="1001"/>
      <c r="G11" s="509"/>
      <c r="H11" s="509"/>
      <c r="I11" s="110"/>
      <c r="J11" s="118"/>
      <c r="K11" s="112"/>
      <c r="L11" s="112"/>
      <c r="M11" s="112"/>
      <c r="N11" s="112"/>
      <c r="O11" s="112"/>
    </row>
    <row r="12" spans="2:19">
      <c r="B12" s="265" t="s">
        <v>145</v>
      </c>
      <c r="C12" s="512">
        <f>'BW2-Field Act. Labor &amp; Mach.'!I9</f>
        <v>9.23447</v>
      </c>
      <c r="D12" s="520">
        <f>'BW2-Field Act. Labor &amp; Mach.'!K9</f>
        <v>7.1626812745625896</v>
      </c>
      <c r="E12" s="520">
        <f>'BW2-Field Act. Labor &amp; Mach.'!L9</f>
        <v>6.5697668891297312</v>
      </c>
      <c r="F12" s="526"/>
      <c r="G12" s="465"/>
      <c r="H12" s="465"/>
      <c r="I12" s="110"/>
      <c r="J12" s="112"/>
      <c r="K12" s="118"/>
      <c r="L12" s="118"/>
      <c r="M12" s="112"/>
      <c r="N12" s="112"/>
      <c r="O12" s="112"/>
    </row>
    <row r="13" spans="2:19">
      <c r="B13" s="132" t="s">
        <v>46</v>
      </c>
      <c r="C13" s="512">
        <f>'BW2-Field Act. Labor &amp; Mach.'!I10</f>
        <v>11.87289</v>
      </c>
      <c r="D13" s="520">
        <f>'BW2-Field Act. Labor &amp; Mach.'!K10</f>
        <v>16.900081383311999</v>
      </c>
      <c r="E13" s="520">
        <f>'BW2-Field Act. Labor &amp; Mach.'!L10</f>
        <v>23.703168100043012</v>
      </c>
      <c r="F13" s="526"/>
      <c r="G13" s="133"/>
      <c r="H13" s="465"/>
      <c r="I13" s="110"/>
      <c r="J13" s="112"/>
      <c r="K13" s="112"/>
      <c r="L13" s="112"/>
      <c r="M13" s="118"/>
      <c r="N13" s="112"/>
      <c r="O13" s="112"/>
    </row>
    <row r="14" spans="2:19">
      <c r="B14" s="151" t="s">
        <v>69</v>
      </c>
      <c r="C14" s="512"/>
      <c r="D14" s="520"/>
      <c r="E14" s="520"/>
      <c r="F14" s="526">
        <f>'BW3-Variable Input'!C9</f>
        <v>116.66666666666667</v>
      </c>
      <c r="G14" s="133"/>
      <c r="H14" s="465"/>
      <c r="I14" s="110"/>
      <c r="J14" s="112"/>
      <c r="K14" s="112"/>
      <c r="L14" s="112"/>
      <c r="M14" s="118"/>
      <c r="N14" s="112"/>
      <c r="O14" s="112"/>
    </row>
    <row r="15" spans="2:19">
      <c r="B15" s="132" t="s">
        <v>11</v>
      </c>
      <c r="C15" s="512">
        <f>'BW2-Field Act. Labor &amp; Mach.'!I13</f>
        <v>22.426569999999998</v>
      </c>
      <c r="D15" s="520">
        <f>'BW2-Field Act. Labor &amp; Mach.'!K13</f>
        <v>17.993866831056</v>
      </c>
      <c r="E15" s="520">
        <f>'BW2-Field Act. Labor &amp; Mach.'!L13</f>
        <v>44.771770188886023</v>
      </c>
      <c r="F15" s="526"/>
      <c r="G15" s="133"/>
      <c r="H15" s="463"/>
      <c r="I15" s="110"/>
      <c r="J15" s="112"/>
      <c r="K15" s="112"/>
      <c r="L15" s="112"/>
      <c r="M15" s="118"/>
      <c r="N15" s="112"/>
      <c r="O15" s="112"/>
    </row>
    <row r="16" spans="2:19">
      <c r="B16" s="132" t="s">
        <v>137</v>
      </c>
      <c r="C16" s="512">
        <f>'BW2-Field Act. Labor &amp; Mach.'!I12</f>
        <v>6.59605</v>
      </c>
      <c r="D16" s="520">
        <f>'BW2-Field Act. Labor &amp; Mach.'!K12</f>
        <v>3.7281613670297151</v>
      </c>
      <c r="E16" s="520">
        <f>'BW2-Field Act. Labor &amp; Mach.'!L12</f>
        <v>3.4161206017736747</v>
      </c>
      <c r="F16" s="526"/>
      <c r="G16" s="133"/>
      <c r="H16" s="465"/>
      <c r="I16" s="110"/>
      <c r="J16" s="112"/>
      <c r="K16" s="112"/>
      <c r="L16" s="112"/>
      <c r="M16" s="118"/>
      <c r="N16" s="112"/>
      <c r="O16" s="112"/>
    </row>
    <row r="17" spans="2:15">
      <c r="B17" s="132" t="s">
        <v>12</v>
      </c>
      <c r="C17" s="512">
        <f>'BW2-Field Act. Labor &amp; Mach.'!I14</f>
        <v>10.55368</v>
      </c>
      <c r="D17" s="520">
        <f>'BW2-Field Act. Labor &amp; Mach.'!K14</f>
        <v>9.2140341759999984</v>
      </c>
      <c r="E17" s="520">
        <f>'BW2-Field Act. Labor &amp; Mach.'!L14</f>
        <v>29.935417361494395</v>
      </c>
      <c r="F17" s="526"/>
      <c r="G17" s="133"/>
      <c r="H17" s="465"/>
      <c r="I17" s="110"/>
      <c r="J17" s="112"/>
      <c r="K17" s="112"/>
      <c r="L17" s="112"/>
      <c r="M17" s="118"/>
      <c r="N17" s="112"/>
      <c r="O17" s="112"/>
    </row>
    <row r="18" spans="2:15">
      <c r="B18" s="132" t="s">
        <v>13</v>
      </c>
      <c r="C18" s="512">
        <f>'BW2-Field Act. Labor &amp; Mach.'!I17</f>
        <v>72.556550000000001</v>
      </c>
      <c r="D18" s="520">
        <f>'BW2-Field Act. Labor &amp; Mach.'!K17</f>
        <v>18.413226025968029</v>
      </c>
      <c r="E18" s="520">
        <f>'BW2-Field Act. Labor &amp; Mach.'!L17</f>
        <v>38.951406687324337</v>
      </c>
      <c r="F18" s="526"/>
      <c r="G18" s="133"/>
      <c r="H18" s="463"/>
      <c r="I18" s="110"/>
      <c r="J18" s="112"/>
      <c r="K18" s="112"/>
      <c r="L18" s="112"/>
      <c r="M18" s="112"/>
      <c r="N18" s="112"/>
      <c r="O18" s="112"/>
    </row>
    <row r="19" spans="2:15">
      <c r="B19" s="151" t="str">
        <f>'BW3-Variable Input'!$B$19</f>
        <v>Plastic mulch for 84" bed spacing</v>
      </c>
      <c r="C19" s="512"/>
      <c r="D19" s="520"/>
      <c r="E19" s="520"/>
      <c r="F19" s="526">
        <f>'BW3-Variable Input'!C19</f>
        <v>77.785714285714278</v>
      </c>
      <c r="G19" s="133"/>
      <c r="H19" s="463"/>
      <c r="I19" s="110"/>
      <c r="J19" s="118"/>
      <c r="K19" s="118"/>
      <c r="L19" s="118"/>
      <c r="M19" s="112"/>
      <c r="N19" s="112"/>
      <c r="O19" s="112"/>
    </row>
    <row r="20" spans="2:15">
      <c r="B20" s="151" t="s">
        <v>313</v>
      </c>
      <c r="C20" s="512"/>
      <c r="D20" s="520"/>
      <c r="E20" s="520"/>
      <c r="F20" s="526">
        <f>'BW3-Variable Input'!C21</f>
        <v>33.880000000000003</v>
      </c>
      <c r="G20" s="133"/>
      <c r="H20" s="463"/>
      <c r="I20" s="110"/>
      <c r="J20" s="112"/>
      <c r="K20" s="112"/>
      <c r="L20" s="112"/>
      <c r="M20" s="112"/>
      <c r="N20" s="112"/>
      <c r="O20" s="112"/>
    </row>
    <row r="21" spans="2:15">
      <c r="B21" s="418" t="s">
        <v>315</v>
      </c>
      <c r="C21" s="513"/>
      <c r="D21" s="521"/>
      <c r="E21" s="521"/>
      <c r="F21" s="527">
        <f>'BW3-Variable Input'!C11</f>
        <v>186</v>
      </c>
      <c r="G21" s="486"/>
      <c r="H21" s="485"/>
      <c r="I21" s="110"/>
      <c r="J21" s="112"/>
      <c r="K21" s="112"/>
      <c r="L21" s="112"/>
      <c r="M21" s="112"/>
      <c r="N21" s="112"/>
      <c r="O21" s="112"/>
    </row>
    <row r="22" spans="2:15">
      <c r="B22" s="132"/>
      <c r="C22" s="133"/>
      <c r="D22" s="133"/>
      <c r="E22" s="133"/>
      <c r="F22" s="133"/>
      <c r="G22" s="133"/>
      <c r="H22" s="466"/>
      <c r="I22" s="110"/>
      <c r="J22" s="112"/>
      <c r="K22" s="112"/>
      <c r="L22" s="112"/>
      <c r="M22" s="112"/>
      <c r="N22" s="112"/>
      <c r="O22" s="112"/>
    </row>
    <row r="23" spans="2:15">
      <c r="B23" s="921" t="s">
        <v>10</v>
      </c>
      <c r="C23" s="515"/>
      <c r="D23" s="438"/>
      <c r="E23" s="438"/>
      <c r="F23" s="529"/>
      <c r="G23" s="422"/>
      <c r="H23" s="494"/>
      <c r="I23" s="110"/>
      <c r="J23" s="112"/>
      <c r="K23" s="112"/>
      <c r="L23" s="112"/>
      <c r="M23" s="112"/>
      <c r="N23" s="112"/>
      <c r="O23" s="112"/>
    </row>
    <row r="24" spans="2:15">
      <c r="B24" s="151" t="str">
        <f>'BW2-Field Act. Labor &amp; Mach.'!B22</f>
        <v>Transplant on plastic mulch</v>
      </c>
      <c r="C24" s="512">
        <f>'BW2-Field Act. Labor &amp; Mach.'!I22</f>
        <v>131.92099999999999</v>
      </c>
      <c r="D24" s="520">
        <f>'BW2-Field Act. Labor &amp; Mach.'!K22</f>
        <v>36.302136438428491</v>
      </c>
      <c r="E24" s="520">
        <f>'BW2-Field Act. Labor &amp; Mach.'!L22</f>
        <v>41.509045695666089</v>
      </c>
      <c r="F24" s="526"/>
      <c r="G24" s="133"/>
      <c r="H24" s="463"/>
      <c r="I24" s="110"/>
      <c r="J24" s="118"/>
      <c r="K24" s="112"/>
      <c r="L24" s="112"/>
      <c r="M24" s="112"/>
      <c r="N24" s="112"/>
      <c r="O24" s="112"/>
    </row>
    <row r="25" spans="2:15">
      <c r="B25" s="418" t="s">
        <v>299</v>
      </c>
      <c r="C25" s="513"/>
      <c r="D25" s="521"/>
      <c r="E25" s="521"/>
      <c r="F25" s="527">
        <f>'BW3-Variable Input'!H171</f>
        <v>225</v>
      </c>
      <c r="G25" s="486"/>
      <c r="H25" s="1031"/>
      <c r="I25" s="110"/>
      <c r="J25" s="118"/>
      <c r="K25" s="112"/>
      <c r="L25" s="112"/>
      <c r="M25" s="112"/>
      <c r="N25" s="112"/>
      <c r="O25" s="112"/>
    </row>
    <row r="26" spans="2:15">
      <c r="B26" s="132"/>
      <c r="C26" s="133"/>
      <c r="D26" s="133"/>
      <c r="E26" s="133"/>
      <c r="F26" s="133"/>
      <c r="G26" s="133"/>
      <c r="H26" s="466"/>
      <c r="I26" s="110"/>
      <c r="J26" s="112"/>
      <c r="K26" s="112"/>
      <c r="L26" s="112"/>
      <c r="M26" s="112"/>
      <c r="N26" s="112"/>
      <c r="O26" s="112"/>
    </row>
    <row r="27" spans="2:15">
      <c r="B27" s="921" t="s">
        <v>37</v>
      </c>
      <c r="C27" s="515"/>
      <c r="D27" s="438"/>
      <c r="E27" s="438"/>
      <c r="F27" s="529"/>
      <c r="G27" s="422"/>
      <c r="H27" s="494"/>
      <c r="I27" s="110"/>
      <c r="J27" s="112"/>
      <c r="K27" s="112"/>
      <c r="L27" s="112"/>
      <c r="M27" s="112"/>
      <c r="N27" s="112"/>
      <c r="O27" s="112"/>
    </row>
    <row r="28" spans="2:15">
      <c r="B28" s="462" t="s">
        <v>179</v>
      </c>
      <c r="C28" s="512">
        <f>'BW2-Field Act. Labor &amp; Mach.'!$I$31*2</f>
        <v>10.55368</v>
      </c>
      <c r="D28" s="520">
        <f>'BW2-Field Act. Labor &amp; Mach.'!K31*2</f>
        <v>1.6570295666513035</v>
      </c>
      <c r="E28" s="520">
        <f>'BW2-Field Act. Labor &amp; Mach.'!L31*2</f>
        <v>27.363002680965153</v>
      </c>
      <c r="F28" s="526"/>
      <c r="G28" s="133"/>
      <c r="H28" s="133"/>
      <c r="I28" s="110"/>
      <c r="J28" s="112"/>
      <c r="K28" s="118"/>
      <c r="L28" s="112"/>
      <c r="M28" s="112"/>
      <c r="N28" s="112"/>
      <c r="O28" s="112"/>
    </row>
    <row r="29" spans="2:15">
      <c r="B29" s="151" t="str">
        <f>'BW5-Irrigation'!$B$8</f>
        <v>Irrigation supply cost</v>
      </c>
      <c r="C29" s="512"/>
      <c r="D29" s="520"/>
      <c r="E29" s="520"/>
      <c r="F29" s="526">
        <f>'BW5-Irrigation'!$E$8</f>
        <v>32.773534158149545</v>
      </c>
      <c r="G29" s="1029" t="s">
        <v>720</v>
      </c>
      <c r="H29" s="463"/>
      <c r="I29" s="115"/>
      <c r="J29" s="118"/>
      <c r="K29" s="118"/>
      <c r="L29" s="118"/>
      <c r="M29" s="112"/>
      <c r="N29" s="112"/>
      <c r="O29" s="112"/>
    </row>
    <row r="30" spans="2:15">
      <c r="B30" s="132" t="str">
        <f>'BW5-Irrigation'!$B$9</f>
        <v>Irrigation set-up labor cost</v>
      </c>
      <c r="C30" s="512">
        <f>'BW5-Irrigation'!$E$9</f>
        <v>50.735370890410955</v>
      </c>
      <c r="D30" s="520"/>
      <c r="E30" s="520"/>
      <c r="F30" s="526"/>
      <c r="G30" s="1029" t="s">
        <v>720</v>
      </c>
      <c r="H30" s="463"/>
      <c r="I30" s="115"/>
      <c r="J30" s="118"/>
      <c r="K30" s="118"/>
      <c r="L30" s="118"/>
      <c r="M30" s="112"/>
      <c r="N30" s="112"/>
      <c r="O30" s="112"/>
    </row>
    <row r="31" spans="2:15">
      <c r="B31" s="132" t="s">
        <v>336</v>
      </c>
      <c r="C31" s="512">
        <f>'BW2-Field Act. Labor &amp; Mach.'!I39*'BW5-Irrigation'!C35</f>
        <v>263.84199999999998</v>
      </c>
      <c r="D31" s="520"/>
      <c r="E31" s="520"/>
      <c r="F31" s="526"/>
      <c r="G31" s="133"/>
      <c r="H31" s="133"/>
      <c r="I31" s="110"/>
      <c r="J31" s="112"/>
      <c r="K31" s="118"/>
      <c r="L31" s="112"/>
      <c r="M31" s="112"/>
      <c r="N31" s="112"/>
      <c r="O31" s="112"/>
    </row>
    <row r="32" spans="2:15">
      <c r="B32" s="132" t="s">
        <v>346</v>
      </c>
      <c r="C32" s="512">
        <f>'BW2-Field Act. Labor &amp; Mach.'!$I$30*2</f>
        <v>15.83052</v>
      </c>
      <c r="D32" s="520">
        <f>'BW2-Field Act. Labor &amp; Mach.'!K30*2</f>
        <v>3.8005199999999992</v>
      </c>
      <c r="E32" s="520">
        <f>'BW2-Field Act. Labor &amp; Mach.'!L30*2</f>
        <v>13.353658536585364</v>
      </c>
      <c r="F32" s="526"/>
      <c r="G32" s="133"/>
      <c r="H32" s="463"/>
      <c r="I32" s="110"/>
      <c r="J32" s="112"/>
      <c r="K32" s="118"/>
      <c r="L32" s="112"/>
      <c r="M32" s="112"/>
      <c r="N32" s="112"/>
      <c r="O32" s="112"/>
    </row>
    <row r="33" spans="2:19">
      <c r="B33" s="265" t="s">
        <v>343</v>
      </c>
      <c r="C33" s="512">
        <f>'BW2-Field Act. Labor &amp; Mach.'!$I$35*2</f>
        <v>131.92099999999999</v>
      </c>
      <c r="D33" s="520"/>
      <c r="E33" s="520"/>
      <c r="F33" s="526"/>
      <c r="G33" s="133"/>
      <c r="H33" s="133"/>
      <c r="I33" s="110"/>
      <c r="J33" s="112"/>
      <c r="K33" s="118"/>
      <c r="L33" s="112"/>
      <c r="M33" s="112"/>
      <c r="N33" s="112"/>
      <c r="O33" s="112"/>
    </row>
    <row r="34" spans="2:19">
      <c r="B34" s="10" t="s">
        <v>189</v>
      </c>
      <c r="C34" s="532">
        <f>'BW2-Field Act. Labor &amp; Mach.'!$I$40*('BW5-Irrigation'!D35+'BW5-Irrigation'!E35)</f>
        <v>17.149730000000002</v>
      </c>
      <c r="D34" s="535">
        <f>'BW2-Field Act. Labor &amp; Mach.'!K40*('BW5-Irrigation'!C35+'BW5-Irrigation'!D35+'BW5-Irrigation'!E35)</f>
        <v>237.25248022048643</v>
      </c>
      <c r="E34" s="535">
        <f>'BW2-Field Act. Labor &amp; Mach.'!L40*('BW5-Irrigation'!C35+'BW5-Irrigation'!D35+'BW5-Irrigation'!E35)</f>
        <v>308.24918710680709</v>
      </c>
      <c r="F34" s="538"/>
      <c r="G34" s="1004"/>
      <c r="H34" s="479"/>
      <c r="I34" s="228"/>
      <c r="J34" s="228"/>
      <c r="K34"/>
      <c r="L34"/>
      <c r="M34"/>
      <c r="N34"/>
      <c r="O34"/>
      <c r="P34"/>
      <c r="Q34"/>
      <c r="R34"/>
      <c r="S34"/>
    </row>
    <row r="35" spans="2:19">
      <c r="B35" s="481" t="s">
        <v>618</v>
      </c>
      <c r="C35" s="532"/>
      <c r="D35" s="535"/>
      <c r="E35" s="535"/>
      <c r="F35" s="538">
        <f>'BW3-Variable Input'!$C$14*'BW5-Irrigation'!D35</f>
        <v>36</v>
      </c>
      <c r="G35" s="1029" t="s">
        <v>851</v>
      </c>
      <c r="H35" s="463"/>
      <c r="I35" s="115"/>
      <c r="J35" s="112"/>
      <c r="K35" s="118"/>
      <c r="L35" s="112"/>
      <c r="M35" s="112"/>
      <c r="N35" s="112"/>
      <c r="O35" s="112"/>
    </row>
    <row r="36" spans="2:19">
      <c r="B36" s="490" t="s">
        <v>617</v>
      </c>
      <c r="C36" s="518"/>
      <c r="D36" s="524"/>
      <c r="E36" s="524"/>
      <c r="F36" s="531">
        <f>'BW3-Variable Input'!$C$16*'BW5-Irrigation'!F35</f>
        <v>9.75</v>
      </c>
      <c r="G36" s="1030" t="s">
        <v>851</v>
      </c>
      <c r="H36" s="485"/>
      <c r="I36" s="115"/>
      <c r="J36" s="118"/>
      <c r="K36" s="118"/>
      <c r="L36" s="118"/>
      <c r="M36" s="112"/>
      <c r="N36" s="112"/>
      <c r="O36" s="112"/>
    </row>
    <row r="37" spans="2:19" s="453" customFormat="1">
      <c r="B37" s="824" t="s">
        <v>508</v>
      </c>
      <c r="C37" s="444">
        <f>SUM(C12:C21, C24:C25,C28:C36)</f>
        <v>755.19351089041095</v>
      </c>
      <c r="D37" s="444">
        <f>SUM(D12:D21, D24:D25,D28:D36)</f>
        <v>352.42421728349456</v>
      </c>
      <c r="E37" s="444">
        <f>SUM(E12:E21, E24:E25,E28:E36)</f>
        <v>537.82254384867485</v>
      </c>
      <c r="F37" s="444">
        <f>SUM(F12:F21, F24:F25,F28:F36)</f>
        <v>717.85591511053053</v>
      </c>
      <c r="G37" s="445" t="s">
        <v>4</v>
      </c>
      <c r="H37" s="446">
        <f>SUM(C37:F37)</f>
        <v>2363.2961871331108</v>
      </c>
      <c r="I37" s="117"/>
      <c r="J37" s="476"/>
      <c r="K37" s="476"/>
      <c r="L37" s="477"/>
      <c r="M37" s="477"/>
      <c r="N37" s="477"/>
      <c r="O37" s="477"/>
      <c r="P37" s="475"/>
    </row>
    <row r="38" spans="2:19" s="120" customFormat="1" ht="15" customHeight="1">
      <c r="B38" s="593"/>
      <c r="C38" s="133"/>
      <c r="D38" s="133"/>
      <c r="E38" s="133"/>
      <c r="F38" s="133"/>
      <c r="G38" s="924"/>
      <c r="H38" s="265"/>
    </row>
    <row r="39" spans="2:19" s="119" customFormat="1" ht="15" customHeight="1">
      <c r="B39" s="116" t="s">
        <v>914</v>
      </c>
      <c r="C39" s="133"/>
      <c r="D39" s="133"/>
      <c r="E39" s="133"/>
      <c r="F39" s="133"/>
      <c r="G39" s="924"/>
      <c r="H39" s="265"/>
      <c r="I39" s="120"/>
    </row>
    <row r="40" spans="2:19">
      <c r="B40" s="921" t="s">
        <v>3</v>
      </c>
      <c r="C40" s="514"/>
      <c r="D40" s="522"/>
      <c r="E40" s="522"/>
      <c r="F40" s="528"/>
      <c r="G40" s="983"/>
      <c r="H40" s="491"/>
      <c r="I40" s="109"/>
      <c r="J40" s="118"/>
      <c r="K40" s="112"/>
      <c r="L40" s="111"/>
      <c r="M40" s="111"/>
      <c r="N40" s="111"/>
      <c r="O40" s="111"/>
      <c r="P40" s="109"/>
    </row>
    <row r="41" spans="2:19">
      <c r="B41" s="132" t="s">
        <v>200</v>
      </c>
      <c r="C41" s="512">
        <f>'BW6-Harvest and Wash-Pack'!D30+'BW2-Field Act. Labor &amp; Mach.'!I54</f>
        <v>402.35904999999997</v>
      </c>
      <c r="D41" s="520">
        <f>'BW2-Field Act. Labor &amp; Mach.'!K57+'BW2-Field Act. Labor &amp; Mach.'!K54</f>
        <v>8.8095584394561897</v>
      </c>
      <c r="E41" s="520">
        <f>'BW2-Field Act. Labor &amp; Mach.'!L57+'BW2-Field Act. Labor &amp; Mach.'!L54</f>
        <v>18.313150222617821</v>
      </c>
      <c r="F41" s="526"/>
      <c r="G41" s="1029" t="s">
        <v>852</v>
      </c>
      <c r="H41" s="265"/>
      <c r="I41" s="109"/>
      <c r="J41" s="118"/>
      <c r="K41" s="112"/>
      <c r="L41" s="113"/>
      <c r="M41" s="113"/>
      <c r="N41" s="113"/>
      <c r="O41" s="113"/>
      <c r="P41" s="109"/>
    </row>
    <row r="42" spans="2:19">
      <c r="B42" s="132" t="s">
        <v>361</v>
      </c>
      <c r="C42" s="512">
        <f>'BW6-Harvest and Wash-Pack'!F30</f>
        <v>197.88149999999999</v>
      </c>
      <c r="D42" s="520"/>
      <c r="E42" s="520"/>
      <c r="F42" s="526"/>
      <c r="G42" s="1029" t="s">
        <v>852</v>
      </c>
      <c r="H42" s="265"/>
      <c r="I42" s="109"/>
      <c r="J42" s="118"/>
      <c r="K42" s="112"/>
      <c r="L42" s="113"/>
      <c r="M42" s="113"/>
      <c r="N42" s="113"/>
      <c r="O42" s="113"/>
      <c r="P42" s="109"/>
    </row>
    <row r="43" spans="2:19">
      <c r="B43" s="418" t="str">
        <f>'BW3-Variable Input'!$B$69</f>
        <v>Paper produce sacks</v>
      </c>
      <c r="C43" s="513"/>
      <c r="D43" s="521"/>
      <c r="E43" s="521"/>
      <c r="F43" s="527">
        <f>'BW3-Variable Input'!$C$69</f>
        <v>135.66535714285715</v>
      </c>
      <c r="G43" s="485"/>
      <c r="H43" s="485"/>
      <c r="I43" s="115"/>
      <c r="J43" s="118"/>
      <c r="K43" s="112"/>
      <c r="L43" s="113"/>
      <c r="M43" s="113"/>
      <c r="N43" s="113"/>
      <c r="O43" s="113"/>
      <c r="P43" s="109"/>
    </row>
    <row r="44" spans="2:19" s="453" customFormat="1">
      <c r="B44" s="824" t="s">
        <v>508</v>
      </c>
      <c r="C44" s="444">
        <f>SUM(C41:C43)</f>
        <v>600.24054999999998</v>
      </c>
      <c r="D44" s="444">
        <f>SUM(D41:D43)</f>
        <v>8.8095584394561897</v>
      </c>
      <c r="E44" s="444">
        <f>SUM(E41:E43)</f>
        <v>18.313150222617821</v>
      </c>
      <c r="F44" s="444">
        <f>SUM(F41:F43)</f>
        <v>135.66535714285715</v>
      </c>
      <c r="G44" s="445" t="s">
        <v>4</v>
      </c>
      <c r="H44" s="446">
        <f>SUM(C44:F44)</f>
        <v>763.02861580493118</v>
      </c>
      <c r="I44" s="117"/>
      <c r="J44" s="476"/>
      <c r="K44" s="476"/>
      <c r="L44" s="477"/>
      <c r="M44" s="477"/>
      <c r="N44" s="477"/>
      <c r="O44" s="477"/>
      <c r="P44" s="475"/>
    </row>
    <row r="45" spans="2:19" s="120" customFormat="1" ht="15" customHeight="1">
      <c r="B45" s="593"/>
      <c r="C45" s="133"/>
      <c r="D45" s="133"/>
      <c r="E45" s="133"/>
      <c r="F45" s="133"/>
      <c r="G45" s="924"/>
      <c r="H45" s="265"/>
    </row>
    <row r="46" spans="2:19" s="119" customFormat="1" ht="15" customHeight="1">
      <c r="B46" s="116" t="s">
        <v>662</v>
      </c>
      <c r="C46" s="133"/>
      <c r="D46" s="133"/>
      <c r="E46" s="133"/>
      <c r="F46" s="133"/>
      <c r="G46" s="924"/>
      <c r="H46" s="265"/>
    </row>
    <row r="47" spans="2:19">
      <c r="B47" s="921" t="s">
        <v>663</v>
      </c>
      <c r="C47" s="515"/>
      <c r="D47" s="438"/>
      <c r="E47" s="438"/>
      <c r="F47" s="529"/>
      <c r="G47" s="494"/>
      <c r="H47" s="494"/>
      <c r="I47" s="110"/>
      <c r="J47" s="112"/>
      <c r="K47" s="112"/>
      <c r="L47" s="113"/>
      <c r="M47" s="113"/>
      <c r="N47" s="113"/>
      <c r="O47" s="113"/>
      <c r="P47" s="109"/>
    </row>
    <row r="48" spans="2:19">
      <c r="B48" s="132" t="s">
        <v>42</v>
      </c>
      <c r="C48" s="512">
        <f>'BW2-Field Act. Labor &amp; Mach.'!I62</f>
        <v>10.55368</v>
      </c>
      <c r="D48" s="520">
        <f>'BW2-Field Act. Labor &amp; Mach.'!K62</f>
        <v>8.1859214566429603</v>
      </c>
      <c r="E48" s="520">
        <f>'BW2-Field Act. Labor &amp; Mach.'!L62</f>
        <v>7.508305016148265</v>
      </c>
      <c r="F48" s="526"/>
      <c r="G48" s="463"/>
      <c r="H48" s="463"/>
      <c r="I48" s="110"/>
      <c r="J48" s="112"/>
      <c r="K48" s="112"/>
      <c r="L48" s="113"/>
      <c r="M48" s="113"/>
      <c r="N48" s="113"/>
      <c r="O48" s="113"/>
      <c r="P48" s="109"/>
    </row>
    <row r="49" spans="1:16">
      <c r="A49" s="116"/>
      <c r="B49" s="132" t="s">
        <v>158</v>
      </c>
      <c r="C49" s="512">
        <f>'BW2-Field Act. Labor &amp; Mach.'!$I$64</f>
        <v>26.3842</v>
      </c>
      <c r="D49" s="520">
        <f>'BW2-Field Act. Labor &amp; Mach.'!K64</f>
        <v>4.5434266879999994</v>
      </c>
      <c r="E49" s="520">
        <f>'BW2-Field Act. Labor &amp; Mach.'!L64</f>
        <v>3.8571108546602404</v>
      </c>
      <c r="F49" s="526"/>
      <c r="G49" s="463"/>
      <c r="H49" s="463"/>
      <c r="I49" s="110"/>
      <c r="J49" s="118"/>
      <c r="K49" s="112"/>
      <c r="L49" s="113"/>
      <c r="M49" s="113"/>
      <c r="N49" s="113"/>
      <c r="O49" s="113"/>
      <c r="P49" s="109"/>
    </row>
    <row r="50" spans="1:16">
      <c r="B50" s="132" t="s">
        <v>43</v>
      </c>
      <c r="C50" s="512">
        <f>'BW2-Field Act. Labor &amp; Mach.'!$I$66</f>
        <v>5.27684</v>
      </c>
      <c r="D50" s="520">
        <f>'BW2-Field Act. Labor &amp; Mach.'!K66</f>
        <v>4.7393418269465482</v>
      </c>
      <c r="E50" s="520">
        <f>'BW2-Field Act. Labor &amp; Mach.'!L66</f>
        <v>4.8215303303156709</v>
      </c>
      <c r="F50" s="526"/>
      <c r="G50" s="463"/>
      <c r="H50" s="463"/>
      <c r="I50" s="110"/>
      <c r="J50" s="112"/>
      <c r="K50" s="112"/>
      <c r="L50" s="113"/>
      <c r="M50" s="113"/>
      <c r="N50" s="113"/>
      <c r="O50" s="113"/>
      <c r="P50" s="109"/>
    </row>
    <row r="51" spans="1:16">
      <c r="B51" s="132" t="s">
        <v>44</v>
      </c>
      <c r="C51" s="512">
        <f>'BW2-Field Act. Labor &amp; Mach.'!$I$67</f>
        <v>5.27684</v>
      </c>
      <c r="D51" s="520">
        <f>'BW2-Field Act. Labor &amp; Mach.'!K67</f>
        <v>4.5754035882945541</v>
      </c>
      <c r="E51" s="520">
        <f>'BW2-Field Act. Labor &amp; Mach.'!L67</f>
        <v>8.7882358546602415</v>
      </c>
      <c r="F51" s="526"/>
      <c r="G51" s="463"/>
      <c r="H51" s="463"/>
      <c r="I51" s="110"/>
      <c r="J51" s="112"/>
      <c r="K51" s="112"/>
      <c r="L51" s="113"/>
      <c r="M51" s="113"/>
      <c r="N51" s="113"/>
      <c r="O51" s="113"/>
      <c r="P51" s="109"/>
    </row>
    <row r="52" spans="1:16">
      <c r="B52" s="132" t="s">
        <v>45</v>
      </c>
      <c r="C52" s="512">
        <f>'BW2-Field Act. Labor &amp; Mach.'!$I$69</f>
        <v>14.511310000000002</v>
      </c>
      <c r="D52" s="520">
        <f>'BW2-Field Act. Labor &amp; Mach.'!K69</f>
        <v>5.9046727740142977</v>
      </c>
      <c r="E52" s="520">
        <f>'BW2-Field Act. Labor &amp; Mach.'!L69</f>
        <v>8.041581086300118</v>
      </c>
      <c r="F52" s="526"/>
      <c r="G52" s="463"/>
      <c r="H52" s="463"/>
      <c r="I52" s="110"/>
      <c r="J52" s="112"/>
      <c r="K52" s="112"/>
      <c r="L52" s="113"/>
      <c r="M52" s="113"/>
      <c r="N52" s="113"/>
      <c r="O52" s="113"/>
      <c r="P52" s="109"/>
    </row>
    <row r="53" spans="1:16">
      <c r="B53" s="500" t="str">
        <f>'BW3-Variable Input'!$B$33</f>
        <v>Winter cover crop seed</v>
      </c>
      <c r="C53" s="513"/>
      <c r="D53" s="521"/>
      <c r="E53" s="521"/>
      <c r="F53" s="527">
        <f>'BW3-Variable Input'!$C$33</f>
        <v>31.793452380952385</v>
      </c>
      <c r="G53" s="485"/>
      <c r="H53" s="485"/>
      <c r="I53" s="110"/>
      <c r="J53" s="112"/>
      <c r="K53" s="112"/>
      <c r="L53" s="113"/>
      <c r="M53" s="113"/>
      <c r="N53" s="113"/>
      <c r="O53" s="113"/>
      <c r="P53" s="109"/>
    </row>
    <row r="54" spans="1:16" s="453" customFormat="1">
      <c r="B54" s="824" t="s">
        <v>508</v>
      </c>
      <c r="C54" s="444">
        <f>SUM(C48:C53)</f>
        <v>62.002870000000001</v>
      </c>
      <c r="D54" s="444">
        <f>SUM(D48:D53)</f>
        <v>27.948766333898359</v>
      </c>
      <c r="E54" s="444">
        <f>SUM(E48:E53)</f>
        <v>33.016763142084535</v>
      </c>
      <c r="F54" s="444">
        <f>SUM(F48:F53)</f>
        <v>31.793452380952385</v>
      </c>
      <c r="G54" s="447" t="s">
        <v>4</v>
      </c>
      <c r="H54" s="446">
        <f>SUM(C54:F54)</f>
        <v>154.76185185693527</v>
      </c>
      <c r="I54" s="117"/>
      <c r="J54" s="476"/>
      <c r="K54" s="476"/>
      <c r="L54" s="478"/>
      <c r="M54" s="478"/>
      <c r="N54" s="478"/>
      <c r="O54" s="478"/>
      <c r="P54" s="475"/>
    </row>
    <row r="55" spans="1:16" s="120" customFormat="1">
      <c r="B55" s="593"/>
      <c r="C55" s="133"/>
      <c r="D55" s="133"/>
      <c r="E55" s="133"/>
      <c r="F55" s="133"/>
      <c r="G55" s="463"/>
      <c r="H55" s="463"/>
      <c r="I55" s="115"/>
      <c r="J55" s="825"/>
      <c r="K55" s="127"/>
      <c r="L55" s="113"/>
      <c r="M55" s="113"/>
      <c r="N55" s="113"/>
      <c r="O55" s="113"/>
    </row>
    <row r="56" spans="1:16" s="453" customFormat="1">
      <c r="B56" s="116" t="s">
        <v>515</v>
      </c>
      <c r="C56" s="444">
        <f>C37+C44+C54</f>
        <v>1417.4369308904108</v>
      </c>
      <c r="D56" s="444">
        <f>D37+D44+D54</f>
        <v>389.18254205684906</v>
      </c>
      <c r="E56" s="444">
        <f>E37+E44+E54</f>
        <v>589.15245721337715</v>
      </c>
      <c r="F56" s="444">
        <f>F37+F44+F54</f>
        <v>885.31472463434011</v>
      </c>
      <c r="G56" s="447" t="s">
        <v>4</v>
      </c>
      <c r="H56" s="446">
        <f>SUM(C56:F56)</f>
        <v>3281.0866547949772</v>
      </c>
      <c r="I56" s="117"/>
      <c r="J56" s="476"/>
      <c r="K56" s="476"/>
      <c r="L56" s="478"/>
      <c r="M56" s="478"/>
      <c r="N56" s="478"/>
      <c r="O56" s="478"/>
      <c r="P56" s="475"/>
    </row>
    <row r="57" spans="1:16">
      <c r="B57" s="114"/>
      <c r="C57" s="133"/>
      <c r="D57" s="133"/>
      <c r="E57" s="133"/>
      <c r="F57" s="133"/>
      <c r="G57" s="463"/>
      <c r="H57" s="463"/>
      <c r="I57" s="110"/>
      <c r="J57" s="112"/>
      <c r="K57" s="112"/>
      <c r="L57" s="113"/>
      <c r="M57" s="113"/>
      <c r="N57" s="113"/>
      <c r="O57" s="113"/>
      <c r="P57" s="109"/>
    </row>
    <row r="58" spans="1:16">
      <c r="B58" s="1032"/>
      <c r="C58" s="1033"/>
      <c r="D58" s="1033"/>
      <c r="E58" s="1033"/>
      <c r="F58" s="1033"/>
      <c r="G58" s="1033"/>
      <c r="H58" s="1033"/>
    </row>
    <row r="59" spans="1:16">
      <c r="B59" s="916"/>
      <c r="C59" s="916"/>
      <c r="D59" s="916"/>
      <c r="E59" s="916"/>
      <c r="F59" s="916"/>
      <c r="G59" s="916"/>
      <c r="H59" s="916"/>
    </row>
    <row r="60" spans="1:16">
      <c r="B60" s="116" t="s">
        <v>664</v>
      </c>
      <c r="C60" s="916"/>
      <c r="D60" s="916"/>
      <c r="E60" s="916"/>
      <c r="F60" s="916"/>
      <c r="G60" s="916"/>
      <c r="H60" s="916"/>
    </row>
    <row r="61" spans="1:16">
      <c r="B61" s="985" t="s">
        <v>668</v>
      </c>
      <c r="C61" s="916"/>
      <c r="D61" s="916"/>
      <c r="E61" s="916"/>
      <c r="F61" s="916"/>
      <c r="G61" s="916"/>
      <c r="H61" s="986">
        <f>C37+C54</f>
        <v>817.19638089041098</v>
      </c>
    </row>
    <row r="62" spans="1:16">
      <c r="B62" s="135" t="s">
        <v>667</v>
      </c>
      <c r="C62" s="916"/>
      <c r="D62" s="916"/>
      <c r="E62" s="916"/>
      <c r="F62" s="916"/>
      <c r="G62" s="916"/>
      <c r="H62" s="986">
        <f>D37+D54</f>
        <v>380.37298361739289</v>
      </c>
    </row>
    <row r="63" spans="1:16">
      <c r="B63" s="985" t="s">
        <v>669</v>
      </c>
      <c r="C63" s="469"/>
      <c r="D63" s="133"/>
      <c r="E63" s="444"/>
      <c r="F63" s="464"/>
      <c r="G63" s="442"/>
      <c r="H63" s="463">
        <f>F37+F54</f>
        <v>749.64936749148296</v>
      </c>
      <c r="I63" s="118"/>
      <c r="J63" s="112"/>
      <c r="K63" s="113"/>
      <c r="L63" s="113"/>
      <c r="M63" s="113"/>
      <c r="N63" s="113"/>
      <c r="O63" s="109"/>
    </row>
    <row r="64" spans="1:16">
      <c r="B64" s="831" t="s">
        <v>666</v>
      </c>
      <c r="C64" s="469"/>
      <c r="D64" s="469"/>
      <c r="E64" s="592"/>
      <c r="F64" s="464"/>
      <c r="G64" s="442"/>
      <c r="H64" s="848">
        <f>SUM(H61:H63)</f>
        <v>1947.2187319992868</v>
      </c>
      <c r="I64" s="112"/>
      <c r="J64" s="112"/>
      <c r="K64" s="113"/>
      <c r="L64" s="113"/>
      <c r="M64" s="113"/>
      <c r="N64" s="113"/>
      <c r="O64" s="109"/>
    </row>
    <row r="65" spans="2:17">
      <c r="B65" s="985" t="s">
        <v>680</v>
      </c>
      <c r="C65" s="469"/>
      <c r="D65" s="469"/>
      <c r="E65" s="469"/>
      <c r="F65" s="132"/>
      <c r="G65" s="442"/>
      <c r="H65" s="463">
        <f>C44</f>
        <v>600.24054999999998</v>
      </c>
      <c r="I65" s="112"/>
      <c r="J65" s="112"/>
      <c r="K65" s="113"/>
      <c r="L65" s="113"/>
      <c r="M65" s="113"/>
      <c r="N65" s="113"/>
      <c r="O65" s="109"/>
    </row>
    <row r="66" spans="2:17">
      <c r="B66" s="985" t="s">
        <v>445</v>
      </c>
      <c r="C66" s="469"/>
      <c r="D66" s="469"/>
      <c r="E66" s="469"/>
      <c r="F66" s="132"/>
      <c r="G66" s="442"/>
      <c r="H66" s="463">
        <f>D44</f>
        <v>8.8095584394561897</v>
      </c>
      <c r="I66" s="112"/>
      <c r="J66" s="112"/>
      <c r="K66" s="113"/>
      <c r="L66" s="113"/>
      <c r="M66" s="113"/>
      <c r="N66" s="113"/>
      <c r="O66" s="109"/>
    </row>
    <row r="67" spans="2:17">
      <c r="B67" s="985" t="s">
        <v>670</v>
      </c>
      <c r="C67" s="469"/>
      <c r="D67" s="444"/>
      <c r="E67" s="469"/>
      <c r="F67" s="132"/>
      <c r="G67" s="132"/>
      <c r="H67" s="463">
        <f>F44</f>
        <v>135.66535714285715</v>
      </c>
      <c r="I67" s="112"/>
      <c r="J67" s="112"/>
      <c r="K67" s="113"/>
      <c r="L67" s="113"/>
      <c r="M67" s="113"/>
      <c r="N67" s="113"/>
      <c r="O67" s="109"/>
    </row>
    <row r="68" spans="2:17">
      <c r="B68" s="831" t="s">
        <v>671</v>
      </c>
      <c r="C68" s="43"/>
      <c r="D68" s="43"/>
      <c r="E68" s="832"/>
      <c r="F68" s="43"/>
      <c r="G68" s="43"/>
      <c r="H68" s="598">
        <f>SUM(H65:H67)</f>
        <v>744.7154655823133</v>
      </c>
      <c r="I68" s="112"/>
      <c r="J68" s="112"/>
      <c r="K68" s="113"/>
      <c r="L68" s="113"/>
      <c r="M68" s="113"/>
      <c r="N68" s="113"/>
      <c r="O68" s="109"/>
    </row>
    <row r="69" spans="2:17">
      <c r="B69" s="833" t="s">
        <v>513</v>
      </c>
      <c r="C69" s="919"/>
      <c r="D69" s="919"/>
      <c r="E69" s="987"/>
      <c r="F69" s="988"/>
      <c r="G69" s="919"/>
      <c r="H69" s="818">
        <f>H64+H68</f>
        <v>2691.9341975816001</v>
      </c>
      <c r="I69" s="112"/>
      <c r="J69" s="112"/>
      <c r="K69" s="113"/>
      <c r="L69" s="113"/>
      <c r="M69" s="113"/>
      <c r="N69" s="113"/>
      <c r="O69" s="109"/>
    </row>
    <row r="70" spans="2:17">
      <c r="B70" s="985" t="s">
        <v>672</v>
      </c>
      <c r="C70" s="135"/>
      <c r="D70" s="135"/>
      <c r="E70" s="472"/>
      <c r="F70" s="135"/>
      <c r="G70" s="135"/>
      <c r="H70" s="989">
        <f>E37+E54</f>
        <v>570.83930699075938</v>
      </c>
      <c r="I70" s="112"/>
      <c r="J70" s="112"/>
      <c r="K70" s="113"/>
      <c r="L70" s="113"/>
      <c r="M70" s="113"/>
      <c r="N70" s="113"/>
      <c r="O70" s="109"/>
    </row>
    <row r="71" spans="2:17">
      <c r="B71" s="985" t="s">
        <v>673</v>
      </c>
      <c r="C71" s="135"/>
      <c r="D71" s="135"/>
      <c r="E71" s="472"/>
      <c r="F71" s="135"/>
      <c r="G71" s="135"/>
      <c r="H71" s="990">
        <f>E44</f>
        <v>18.313150222617821</v>
      </c>
      <c r="I71" s="112"/>
      <c r="J71" s="112"/>
      <c r="K71" s="113"/>
      <c r="L71" s="113"/>
      <c r="M71" s="113"/>
      <c r="N71" s="113"/>
      <c r="O71" s="109"/>
    </row>
    <row r="72" spans="2:17">
      <c r="B72" s="837" t="s">
        <v>514</v>
      </c>
      <c r="C72" s="919"/>
      <c r="D72" s="919"/>
      <c r="E72" s="987"/>
      <c r="F72" s="988"/>
      <c r="G72" s="919"/>
      <c r="H72" s="819">
        <f>H70+H71</f>
        <v>589.15245721337715</v>
      </c>
      <c r="I72" s="112"/>
      <c r="J72" s="112"/>
      <c r="K72" s="113"/>
      <c r="L72" s="113"/>
      <c r="M72" s="113"/>
      <c r="N72" s="113"/>
      <c r="O72" s="109"/>
    </row>
    <row r="73" spans="2:17">
      <c r="B73" s="264"/>
      <c r="C73" s="450"/>
      <c r="D73" s="444"/>
      <c r="E73" s="450"/>
      <c r="F73" s="448"/>
      <c r="G73" s="448"/>
      <c r="H73" s="559"/>
      <c r="I73" s="112"/>
      <c r="J73" s="112"/>
      <c r="K73" s="113"/>
      <c r="L73" s="113"/>
      <c r="M73" s="113"/>
      <c r="N73" s="113"/>
      <c r="O73" s="109"/>
    </row>
    <row r="74" spans="2:17">
      <c r="B74" s="132"/>
      <c r="C74" s="469"/>
      <c r="D74" s="469"/>
      <c r="E74" s="469"/>
      <c r="F74" s="132"/>
      <c r="G74" s="442"/>
      <c r="H74" s="442"/>
      <c r="I74" s="112"/>
      <c r="J74" s="112"/>
      <c r="K74" s="111"/>
      <c r="L74" s="111"/>
      <c r="M74" s="111"/>
      <c r="N74" s="111"/>
      <c r="O74" s="109"/>
    </row>
    <row r="75" spans="2:17">
      <c r="B75" s="132"/>
      <c r="C75" s="132"/>
      <c r="D75" s="132"/>
      <c r="E75" s="132"/>
      <c r="F75" s="132"/>
      <c r="G75" s="132"/>
      <c r="H75" s="442"/>
      <c r="I75" s="110"/>
      <c r="J75" s="112"/>
      <c r="K75" s="112"/>
      <c r="L75" s="111"/>
      <c r="M75" s="111"/>
      <c r="N75" s="111"/>
      <c r="O75" s="111"/>
      <c r="P75" s="109"/>
    </row>
    <row r="76" spans="2:17">
      <c r="B76" s="110"/>
      <c r="C76" s="110"/>
      <c r="D76" s="109"/>
      <c r="E76" s="110"/>
      <c r="F76" s="110"/>
      <c r="G76" s="110"/>
      <c r="H76" s="109"/>
      <c r="I76" s="110"/>
      <c r="L76" s="109"/>
      <c r="M76" s="109"/>
      <c r="N76" s="109"/>
      <c r="O76" s="109"/>
      <c r="P76" s="109"/>
    </row>
    <row r="77" spans="2:17">
      <c r="B77" s="110"/>
      <c r="C77" s="133"/>
      <c r="D77" s="133"/>
      <c r="E77" s="133"/>
      <c r="F77" s="133"/>
      <c r="H77" s="243"/>
      <c r="I77" s="109"/>
      <c r="J77" s="110"/>
      <c r="M77" s="109"/>
      <c r="N77" s="109"/>
      <c r="O77" s="109"/>
      <c r="P77" s="109"/>
      <c r="Q77"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80"/>
  <sheetViews>
    <sheetView showGridLines="0" view="pageLayout" workbookViewId="0">
      <selection activeCell="B44" sqref="B44"/>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8" t="str">
        <f>'Workbook Index'!B49</f>
        <v>Roots, Radish/Turnip</v>
      </c>
      <c r="C2" s="221"/>
      <c r="D2" s="221"/>
      <c r="E2" s="221"/>
      <c r="I2" s="120"/>
      <c r="J2" s="120"/>
      <c r="K2" s="120"/>
      <c r="L2" s="109"/>
      <c r="M2" s="109"/>
      <c r="N2" s="109"/>
    </row>
    <row r="3" spans="2:19" ht="34"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7">
        <f>'BW1-Bed and Row Spacing'!J31</f>
        <v>6701.5384615384619</v>
      </c>
      <c r="F4" s="135"/>
      <c r="G4" s="135"/>
      <c r="H4" s="135"/>
      <c r="I4" s="226"/>
      <c r="J4" s="226"/>
      <c r="K4" s="226"/>
      <c r="L4" s="109"/>
      <c r="M4" s="110"/>
      <c r="N4" s="111"/>
      <c r="O4" s="112"/>
      <c r="P4" s="112"/>
      <c r="Q4" s="112"/>
      <c r="R4" s="112"/>
      <c r="S4" s="112"/>
    </row>
    <row r="5" spans="2:19">
      <c r="B5" s="915"/>
      <c r="C5" s="132" t="s">
        <v>366</v>
      </c>
      <c r="D5" s="916"/>
      <c r="E5" s="1338" t="s">
        <v>820</v>
      </c>
      <c r="F5" s="1338"/>
      <c r="G5" s="1338"/>
      <c r="H5" s="1338"/>
      <c r="M5" s="110"/>
      <c r="N5" s="111"/>
      <c r="O5" s="112"/>
      <c r="P5" s="112"/>
      <c r="Q5" s="112"/>
      <c r="R5" s="112"/>
      <c r="S5" s="112"/>
    </row>
    <row r="6" spans="2:19">
      <c r="B6" s="223"/>
      <c r="C6" s="915"/>
      <c r="D6" s="916"/>
      <c r="E6" s="1338"/>
      <c r="F6" s="1338"/>
      <c r="G6" s="1338"/>
      <c r="H6" s="1338"/>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c r="B11" s="921" t="s">
        <v>298</v>
      </c>
      <c r="C11" s="511"/>
      <c r="D11" s="519"/>
      <c r="E11" s="519"/>
      <c r="F11" s="525"/>
      <c r="G11" s="1335" t="s">
        <v>705</v>
      </c>
      <c r="H11" s="1335"/>
      <c r="I11" s="121"/>
      <c r="J11" s="110"/>
      <c r="K11" s="121"/>
      <c r="L11" s="112"/>
      <c r="M11" s="112"/>
      <c r="N11" s="112"/>
      <c r="O11" s="112"/>
      <c r="P11" s="112"/>
    </row>
    <row r="12" spans="2:19">
      <c r="B12" s="265" t="s">
        <v>145</v>
      </c>
      <c r="C12" s="512">
        <f>('BW2-Field Act. Labor &amp; Mach.'!$I$9)/2</f>
        <v>4.617235</v>
      </c>
      <c r="D12" s="520">
        <f>('BW2-Field Act. Labor &amp; Mach.'!K9)/2</f>
        <v>3.5813406372812948</v>
      </c>
      <c r="E12" s="520">
        <f>('BW2-Field Act. Labor &amp; Mach.'!L9)/2</f>
        <v>3.2848834445648656</v>
      </c>
      <c r="F12" s="526"/>
      <c r="G12" s="1336"/>
      <c r="H12" s="1336"/>
      <c r="I12" s="121"/>
      <c r="J12" s="110"/>
      <c r="K12" s="121"/>
      <c r="L12" s="112"/>
      <c r="M12" s="112"/>
      <c r="N12" s="112"/>
      <c r="O12" s="112"/>
      <c r="P12" s="112"/>
    </row>
    <row r="13" spans="2:19">
      <c r="B13" s="462" t="s">
        <v>45</v>
      </c>
      <c r="C13" s="512">
        <f>('BW2-Field Act. Labor &amp; Mach.'!$I$69)/2</f>
        <v>7.2556550000000009</v>
      </c>
      <c r="D13" s="520">
        <f>('BW2-Field Act. Labor &amp; Mach.'!K69)/2</f>
        <v>2.9523363870071488</v>
      </c>
      <c r="E13" s="520">
        <f>('BW2-Field Act. Labor &amp; Mach.'!L69)/2</f>
        <v>4.020790543150059</v>
      </c>
      <c r="F13" s="526"/>
      <c r="G13" s="1336"/>
      <c r="H13" s="1336"/>
      <c r="I13" s="121"/>
      <c r="J13" s="110"/>
      <c r="K13" s="121"/>
      <c r="L13" s="112"/>
      <c r="M13" s="112"/>
      <c r="N13" s="112"/>
      <c r="O13" s="112"/>
      <c r="P13" s="112"/>
    </row>
    <row r="14" spans="2:19">
      <c r="B14" s="500" t="str">
        <f>'BW3-Variable Input'!$B$34</f>
        <v>Summer cover crop seed</v>
      </c>
      <c r="C14" s="513"/>
      <c r="D14" s="521"/>
      <c r="E14" s="521"/>
      <c r="F14" s="527">
        <f>('BW3-Variable Input'!$C$34)/2</f>
        <v>16.173333333333336</v>
      </c>
      <c r="G14" s="1337"/>
      <c r="H14" s="1337"/>
      <c r="I14" s="121"/>
      <c r="J14" s="110"/>
      <c r="K14" s="121"/>
      <c r="L14" s="112"/>
      <c r="M14" s="112"/>
      <c r="N14" s="112"/>
      <c r="O14" s="112"/>
      <c r="P14" s="112"/>
    </row>
    <row r="15" spans="2:19">
      <c r="B15" s="264"/>
      <c r="C15" s="456"/>
      <c r="D15" s="456"/>
      <c r="E15" s="456"/>
      <c r="F15" s="456"/>
      <c r="G15" s="455"/>
      <c r="H15" s="464"/>
      <c r="I15" s="121"/>
      <c r="J15" s="110"/>
      <c r="K15" s="121"/>
      <c r="L15" s="112"/>
      <c r="M15" s="112"/>
      <c r="N15" s="112"/>
      <c r="O15" s="112"/>
      <c r="P15" s="112"/>
    </row>
    <row r="16" spans="2:19" ht="13" customHeight="1">
      <c r="B16" s="922" t="s">
        <v>181</v>
      </c>
      <c r="C16" s="514"/>
      <c r="D16" s="522"/>
      <c r="E16" s="522"/>
      <c r="F16" s="528"/>
      <c r="G16" s="509"/>
      <c r="H16" s="509"/>
      <c r="I16" s="110"/>
      <c r="J16" s="118"/>
      <c r="K16" s="112"/>
      <c r="L16" s="112"/>
      <c r="M16" s="112"/>
      <c r="N16" s="112"/>
      <c r="O16" s="112"/>
    </row>
    <row r="17" spans="2:15" ht="15" customHeight="1">
      <c r="B17" s="265" t="s">
        <v>145</v>
      </c>
      <c r="C17" s="512">
        <f>'BW2-Field Act. Labor &amp; Mach.'!I9</f>
        <v>9.23447</v>
      </c>
      <c r="D17" s="520">
        <f>'BW2-Field Act. Labor &amp; Mach.'!K9</f>
        <v>7.1626812745625896</v>
      </c>
      <c r="E17" s="520">
        <f>'BW2-Field Act. Labor &amp; Mach.'!L9</f>
        <v>6.5697668891297312</v>
      </c>
      <c r="F17" s="526"/>
      <c r="G17" s="465"/>
      <c r="H17" s="465"/>
      <c r="I17" s="5"/>
      <c r="J17" s="112"/>
      <c r="K17" s="118"/>
      <c r="L17" s="118"/>
      <c r="M17" s="112"/>
      <c r="N17" s="112"/>
      <c r="O17" s="112"/>
    </row>
    <row r="18" spans="2:15" ht="15" customHeight="1">
      <c r="B18" s="132" t="s">
        <v>46</v>
      </c>
      <c r="C18" s="512">
        <f>'BW2-Field Act. Labor &amp; Mach.'!I10</f>
        <v>11.87289</v>
      </c>
      <c r="D18" s="520">
        <f>'BW2-Field Act. Labor &amp; Mach.'!K10</f>
        <v>16.900081383311999</v>
      </c>
      <c r="E18" s="520">
        <f>'BW2-Field Act. Labor &amp; Mach.'!L10</f>
        <v>23.703168100043012</v>
      </c>
      <c r="F18" s="526"/>
      <c r="G18" s="133"/>
      <c r="H18" s="465"/>
      <c r="I18" s="5"/>
      <c r="J18" s="112"/>
      <c r="K18" s="112"/>
      <c r="L18" s="112"/>
      <c r="M18" s="118"/>
      <c r="N18" s="112"/>
      <c r="O18" s="112"/>
    </row>
    <row r="19" spans="2:15" ht="15" customHeight="1">
      <c r="B19" s="151" t="s">
        <v>69</v>
      </c>
      <c r="C19" s="512"/>
      <c r="D19" s="520"/>
      <c r="E19" s="520"/>
      <c r="F19" s="526">
        <f>'BW3-Variable Input'!C9</f>
        <v>116.66666666666667</v>
      </c>
      <c r="G19" s="133"/>
      <c r="H19" s="465"/>
      <c r="I19" s="5"/>
      <c r="J19" s="112"/>
      <c r="K19" s="112"/>
      <c r="L19" s="112"/>
      <c r="M19" s="118"/>
      <c r="N19" s="112"/>
      <c r="O19" s="112"/>
    </row>
    <row r="20" spans="2:15" ht="15" customHeight="1">
      <c r="B20" s="132" t="s">
        <v>11</v>
      </c>
      <c r="C20" s="512">
        <f>'BW2-Field Act. Labor &amp; Mach.'!I13</f>
        <v>22.426569999999998</v>
      </c>
      <c r="D20" s="520">
        <f>'BW2-Field Act. Labor &amp; Mach.'!K13</f>
        <v>17.993866831056</v>
      </c>
      <c r="E20" s="520">
        <f>'BW2-Field Act. Labor &amp; Mach.'!L13</f>
        <v>44.771770188886023</v>
      </c>
      <c r="F20" s="526"/>
      <c r="G20" s="133"/>
      <c r="H20" s="463"/>
      <c r="I20" s="5"/>
      <c r="J20" s="112"/>
      <c r="K20" s="112"/>
      <c r="L20" s="112"/>
      <c r="M20" s="118"/>
      <c r="N20" s="112"/>
      <c r="O20" s="112"/>
    </row>
    <row r="21" spans="2:15" ht="15" customHeight="1">
      <c r="B21" s="132" t="s">
        <v>12</v>
      </c>
      <c r="C21" s="512"/>
      <c r="D21" s="520">
        <f>'BW2-Field Act. Labor &amp; Mach.'!K14</f>
        <v>9.2140341759999984</v>
      </c>
      <c r="E21" s="520">
        <f>'BW2-Field Act. Labor &amp; Mach.'!L14</f>
        <v>29.935417361494395</v>
      </c>
      <c r="F21" s="526"/>
      <c r="G21" s="133"/>
      <c r="H21" s="463"/>
      <c r="I21" s="5"/>
      <c r="J21" s="112"/>
      <c r="K21" s="112"/>
      <c r="L21" s="112"/>
      <c r="M21" s="112"/>
      <c r="N21" s="112"/>
      <c r="O21" s="112"/>
    </row>
    <row r="22" spans="2:15" ht="15" customHeight="1">
      <c r="B22" s="132" t="s">
        <v>144</v>
      </c>
      <c r="C22" s="512">
        <f>'BW2-Field Act. Labor &amp; Mach.'!I15</f>
        <v>59.364449999999998</v>
      </c>
      <c r="D22" s="520">
        <f>'BW2-Field Act. Labor &amp; Mach.'!K15</f>
        <v>11.732543673988348</v>
      </c>
      <c r="E22" s="520">
        <f>'BW2-Field Act. Labor &amp; Mach.'!L15</f>
        <v>19.938595491388046</v>
      </c>
      <c r="F22" s="526"/>
      <c r="G22" s="133"/>
      <c r="H22" s="463"/>
      <c r="I22" s="5"/>
      <c r="J22" s="112"/>
      <c r="K22" s="112"/>
      <c r="L22" s="112"/>
      <c r="M22" s="112"/>
      <c r="N22" s="112"/>
      <c r="O22" s="112"/>
    </row>
    <row r="23" spans="2:15" ht="15" customHeight="1">
      <c r="B23" s="151" t="s">
        <v>313</v>
      </c>
      <c r="C23" s="512"/>
      <c r="D23" s="520"/>
      <c r="E23" s="520"/>
      <c r="F23" s="526">
        <f>'BW3-Variable Input'!C23</f>
        <v>125.09538461538463</v>
      </c>
      <c r="G23" s="133"/>
      <c r="H23" s="463"/>
      <c r="I23" s="5"/>
      <c r="J23" s="118"/>
      <c r="K23" s="118"/>
      <c r="L23" s="118"/>
      <c r="M23" s="112"/>
      <c r="N23" s="112"/>
      <c r="O23" s="112"/>
    </row>
    <row r="24" spans="2:15" ht="15" customHeight="1">
      <c r="B24" s="416" t="s">
        <v>192</v>
      </c>
      <c r="C24" s="513">
        <f>'BW2-Field Act. Labor &amp; Mach.'!I16*2</f>
        <v>21.10736</v>
      </c>
      <c r="D24" s="521">
        <f>'BW2-Field Act. Labor &amp; Mach.'!K16*2</f>
        <v>12.051200395575469</v>
      </c>
      <c r="E24" s="521">
        <f>'BW2-Field Act. Labor &amp; Mach.'!L16*2</f>
        <v>17.332156747393537</v>
      </c>
      <c r="F24" s="527"/>
      <c r="G24" s="486"/>
      <c r="H24" s="485"/>
      <c r="I24" s="5"/>
      <c r="J24" s="112"/>
      <c r="K24" s="112"/>
      <c r="L24" s="112"/>
      <c r="M24" s="112"/>
      <c r="N24" s="112"/>
      <c r="O24" s="112"/>
    </row>
    <row r="25" spans="2:15" ht="15" customHeight="1">
      <c r="B25" s="132"/>
      <c r="C25" s="133"/>
      <c r="D25" s="133"/>
      <c r="E25" s="133"/>
      <c r="F25" s="133"/>
      <c r="G25" s="133"/>
      <c r="H25" s="466"/>
      <c r="I25" s="5"/>
      <c r="J25" s="112"/>
      <c r="K25" s="112"/>
      <c r="L25" s="112"/>
      <c r="M25" s="112"/>
      <c r="N25" s="112"/>
      <c r="O25" s="112"/>
    </row>
    <row r="26" spans="2:15" ht="15" customHeight="1">
      <c r="B26" s="921" t="s">
        <v>10</v>
      </c>
      <c r="C26" s="515"/>
      <c r="D26" s="438"/>
      <c r="E26" s="438"/>
      <c r="F26" s="529"/>
      <c r="G26" s="422"/>
      <c r="H26" s="494"/>
      <c r="I26" s="5"/>
      <c r="J26" s="112"/>
      <c r="K26" s="112"/>
      <c r="L26" s="112"/>
      <c r="M26" s="112"/>
      <c r="N26" s="112"/>
      <c r="O26" s="112"/>
    </row>
    <row r="27" spans="2:15" ht="15" customHeight="1">
      <c r="B27" s="473" t="s">
        <v>321</v>
      </c>
      <c r="C27" s="516">
        <f>'BW2-Field Act. Labor &amp; Mach.'!I20</f>
        <v>52.7684</v>
      </c>
      <c r="D27" s="520">
        <f>'BW2-Field Act. Labor &amp; Mach.'!K20</f>
        <v>17.196459355934465</v>
      </c>
      <c r="E27" s="520">
        <f>'BW2-Field Act. Labor &amp; Mach.'!L20</f>
        <v>40.179586989352146</v>
      </c>
      <c r="F27" s="526"/>
      <c r="G27" s="133"/>
      <c r="H27" s="463"/>
      <c r="I27" s="110"/>
      <c r="J27" s="112"/>
      <c r="K27" s="112"/>
      <c r="L27" s="112"/>
      <c r="M27" s="112"/>
      <c r="N27" s="112"/>
      <c r="O27" s="112"/>
    </row>
    <row r="28" spans="2:15" ht="15" customHeight="1">
      <c r="B28" s="151" t="s">
        <v>315</v>
      </c>
      <c r="C28" s="516"/>
      <c r="D28" s="520"/>
      <c r="E28" s="520"/>
      <c r="F28" s="526">
        <f>('BW3-Variable Input'!C10)</f>
        <v>124</v>
      </c>
      <c r="G28" s="133"/>
      <c r="H28" s="463"/>
      <c r="I28" s="110"/>
      <c r="J28" s="112"/>
      <c r="K28" s="112"/>
      <c r="L28" s="112"/>
      <c r="M28" s="112"/>
      <c r="N28" s="112"/>
      <c r="O28" s="112"/>
    </row>
    <row r="29" spans="2:15" ht="15" customHeight="1">
      <c r="B29" s="418" t="s">
        <v>65</v>
      </c>
      <c r="C29" s="513"/>
      <c r="D29" s="521"/>
      <c r="E29" s="521"/>
      <c r="F29" s="527">
        <f>'BW3-Variable Input'!H170</f>
        <v>120.62769230769231</v>
      </c>
      <c r="G29" s="486"/>
      <c r="H29" s="485"/>
      <c r="I29" s="110"/>
      <c r="J29" s="112"/>
      <c r="K29" s="112"/>
      <c r="L29" s="112"/>
      <c r="M29" s="112"/>
      <c r="N29" s="112"/>
      <c r="O29" s="112"/>
    </row>
    <row r="30" spans="2:15" ht="15" customHeight="1">
      <c r="B30" s="132"/>
      <c r="C30" s="133"/>
      <c r="D30" s="133"/>
      <c r="E30" s="133"/>
      <c r="F30" s="133"/>
      <c r="G30" s="133"/>
      <c r="H30" s="466"/>
      <c r="I30" s="110"/>
      <c r="J30" s="112"/>
      <c r="K30" s="112"/>
      <c r="L30" s="112"/>
      <c r="M30" s="112"/>
      <c r="N30" s="112"/>
      <c r="O30" s="112"/>
    </row>
    <row r="31" spans="2:15" ht="15" customHeight="1">
      <c r="B31" s="921" t="s">
        <v>37</v>
      </c>
      <c r="C31" s="515"/>
      <c r="D31" s="438"/>
      <c r="E31" s="438"/>
      <c r="F31" s="529"/>
      <c r="G31" s="422"/>
      <c r="H31" s="494"/>
      <c r="I31" s="110"/>
      <c r="J31" s="112"/>
      <c r="K31" s="112"/>
      <c r="L31" s="112"/>
      <c r="M31" s="112"/>
      <c r="N31" s="112"/>
      <c r="O31" s="112"/>
    </row>
    <row r="32" spans="2:15" ht="15" customHeight="1">
      <c r="B32" s="462" t="s">
        <v>179</v>
      </c>
      <c r="C32" s="512">
        <f>'BW2-Field Act. Labor &amp; Mach.'!$I$31*2</f>
        <v>10.55368</v>
      </c>
      <c r="D32" s="520">
        <f>'BW2-Field Act. Labor &amp; Mach.'!K31*2</f>
        <v>1.6570295666513035</v>
      </c>
      <c r="E32" s="520">
        <f>'BW2-Field Act. Labor &amp; Mach.'!L31*2</f>
        <v>27.363002680965153</v>
      </c>
      <c r="F32" s="526"/>
      <c r="G32" s="133"/>
      <c r="H32" s="133"/>
      <c r="I32" s="110"/>
      <c r="J32" s="112"/>
      <c r="K32" s="118"/>
      <c r="L32" s="112"/>
      <c r="M32" s="112"/>
      <c r="N32" s="112"/>
      <c r="O32" s="112"/>
    </row>
    <row r="33" spans="2:19" ht="15" customHeight="1">
      <c r="B33" s="151" t="str">
        <f>'BW5-Irrigation'!$B$8</f>
        <v>Irrigation supply cost</v>
      </c>
      <c r="C33" s="512"/>
      <c r="D33" s="520"/>
      <c r="E33" s="520"/>
      <c r="F33" s="526">
        <f>'BW5-Irrigation'!$E$8</f>
        <v>32.773534158149545</v>
      </c>
      <c r="G33" s="1029" t="s">
        <v>851</v>
      </c>
      <c r="H33" s="133"/>
      <c r="I33" s="110"/>
      <c r="J33" s="112"/>
      <c r="K33" s="118"/>
      <c r="L33" s="112"/>
      <c r="M33" s="112"/>
      <c r="N33" s="112"/>
      <c r="O33" s="112"/>
    </row>
    <row r="34" spans="2:19" ht="15" customHeight="1">
      <c r="B34" s="132" t="str">
        <f>'BW5-Irrigation'!$B$9</f>
        <v>Irrigation set-up labor cost</v>
      </c>
      <c r="C34" s="512">
        <f>'BW5-Irrigation'!$E$9</f>
        <v>50.735370890410955</v>
      </c>
      <c r="D34" s="520"/>
      <c r="E34" s="520"/>
      <c r="F34" s="526"/>
      <c r="G34" s="1029" t="s">
        <v>851</v>
      </c>
      <c r="H34" s="133"/>
      <c r="I34" s="110"/>
      <c r="J34" s="112"/>
      <c r="K34" s="118"/>
      <c r="L34" s="112"/>
      <c r="M34" s="112"/>
      <c r="N34" s="112"/>
      <c r="O34" s="112"/>
    </row>
    <row r="35" spans="2:19" ht="15" customHeight="1">
      <c r="B35" s="132" t="s">
        <v>184</v>
      </c>
      <c r="C35" s="512">
        <f>'BW2-Field Act. Labor &amp; Mach.'!I39*'BW5-Irrigation'!C36</f>
        <v>126.64416</v>
      </c>
      <c r="D35" s="520"/>
      <c r="E35" s="520"/>
      <c r="F35" s="526"/>
      <c r="G35" s="133"/>
      <c r="H35" s="463"/>
      <c r="I35" s="115"/>
      <c r="J35" s="118"/>
      <c r="K35" s="118"/>
      <c r="L35" s="118"/>
      <c r="M35" s="112"/>
      <c r="N35" s="112"/>
      <c r="O35" s="112"/>
    </row>
    <row r="36" spans="2:19" ht="15" customHeight="1">
      <c r="B36" s="462" t="s">
        <v>230</v>
      </c>
      <c r="C36" s="517">
        <v>6.6</v>
      </c>
      <c r="D36" s="523">
        <f>'BW2-Field Act. Labor &amp; Mach.'!K32</f>
        <v>0.70423756582680397</v>
      </c>
      <c r="E36" s="523">
        <f>'BW2-Field Act. Labor &amp; Mach.'!L32</f>
        <v>11.629276139410191</v>
      </c>
      <c r="F36" s="530"/>
      <c r="G36" s="133"/>
      <c r="H36" s="479"/>
      <c r="I36" s="228"/>
      <c r="J36" s="228"/>
      <c r="K36"/>
      <c r="L36"/>
      <c r="M36"/>
      <c r="N36"/>
      <c r="O36"/>
      <c r="P36"/>
      <c r="Q36"/>
      <c r="R36"/>
      <c r="S36"/>
    </row>
    <row r="37" spans="2:19" ht="15" customHeight="1">
      <c r="B37" s="482" t="s">
        <v>308</v>
      </c>
      <c r="C37" s="517"/>
      <c r="D37" s="523"/>
      <c r="E37" s="523"/>
      <c r="F37" s="530">
        <v>8.8000000000000007</v>
      </c>
      <c r="G37" s="473"/>
      <c r="H37" s="463"/>
      <c r="I37" s="115"/>
      <c r="J37" s="112"/>
      <c r="K37" s="118"/>
      <c r="L37" s="112"/>
      <c r="M37" s="112"/>
      <c r="N37" s="112"/>
      <c r="O37" s="112"/>
    </row>
    <row r="38" spans="2:19" ht="15" customHeight="1">
      <c r="B38" s="462"/>
      <c r="C38" s="517"/>
      <c r="D38" s="523"/>
      <c r="E38" s="523"/>
      <c r="F38" s="530"/>
      <c r="G38" s="473"/>
      <c r="H38" s="463"/>
      <c r="I38" s="115"/>
      <c r="J38" s="112"/>
      <c r="K38" s="118"/>
      <c r="L38" s="112"/>
      <c r="M38" s="112"/>
      <c r="N38" s="112"/>
      <c r="O38" s="112"/>
    </row>
    <row r="39" spans="2:19" ht="15" customHeight="1">
      <c r="B39" s="482" t="str">
        <f>'BW3-Variable Input'!B28</f>
        <v xml:space="preserve">Agribon 19 row cover </v>
      </c>
      <c r="C39" s="517"/>
      <c r="D39" s="523"/>
      <c r="E39" s="523"/>
      <c r="F39" s="530">
        <f>'BW3-Variable Input'!C28/2</f>
        <v>69.249230769230778</v>
      </c>
      <c r="G39" s="1343" t="s">
        <v>394</v>
      </c>
      <c r="H39" s="1343"/>
      <c r="I39" s="115"/>
      <c r="J39" s="112"/>
      <c r="K39" s="118"/>
      <c r="L39" s="112"/>
      <c r="M39" s="112"/>
      <c r="N39" s="112"/>
      <c r="O39" s="112"/>
    </row>
    <row r="40" spans="2:19" ht="15" customHeight="1">
      <c r="B40" s="462" t="s">
        <v>194</v>
      </c>
      <c r="C40" s="512">
        <f>'BW2-Field Act. Labor &amp; Mach.'!$I$28*2</f>
        <v>21.10736</v>
      </c>
      <c r="D40" s="520">
        <f>'BW2-Field Act. Labor &amp; Mach.'!K28*2</f>
        <v>8.7132183142146751</v>
      </c>
      <c r="E40" s="520">
        <f>'BW2-Field Act. Labor &amp; Mach.'!L28*2</f>
        <v>23.101468332237562</v>
      </c>
      <c r="F40" s="526"/>
      <c r="G40" s="1343"/>
      <c r="H40" s="1343"/>
      <c r="I40" s="115"/>
      <c r="J40" s="112"/>
      <c r="K40" s="118"/>
      <c r="L40" s="112"/>
      <c r="M40" s="112"/>
      <c r="N40" s="112"/>
      <c r="O40" s="112"/>
    </row>
    <row r="41" spans="2:19" ht="15" customHeight="1">
      <c r="B41" s="493" t="s">
        <v>138</v>
      </c>
      <c r="C41" s="513">
        <f>'BW2-Field Act. Labor &amp; Mach.'!$I$29</f>
        <v>31.66104</v>
      </c>
      <c r="D41" s="521">
        <f>'BW2-Field Act. Labor &amp; Mach.'!K29</f>
        <v>9.4246701390025667</v>
      </c>
      <c r="E41" s="521">
        <f>'BW2-Field Act. Labor &amp; Mach.'!L29</f>
        <v>25.827424012158055</v>
      </c>
      <c r="F41" s="527"/>
      <c r="G41" s="1344"/>
      <c r="H41" s="1344"/>
      <c r="I41" s="110"/>
      <c r="J41" s="112"/>
      <c r="K41" s="118"/>
      <c r="L41" s="112"/>
      <c r="M41" s="112"/>
      <c r="N41" s="112"/>
      <c r="O41" s="112"/>
    </row>
    <row r="42" spans="2:19" s="453" customFormat="1" ht="15" customHeight="1">
      <c r="B42" s="824" t="s">
        <v>508</v>
      </c>
      <c r="C42" s="444">
        <f>SUM(C12:C13, C17:C24, C27:C29, C32:C41)</f>
        <v>435.9486408904109</v>
      </c>
      <c r="D42" s="444">
        <f>SUM(D12:D13, D17:D24, D27:D29, D32:D41)</f>
        <v>119.28369970041265</v>
      </c>
      <c r="E42" s="444">
        <f>SUM(E12:E13, E17:E24, E27:E29, E32:E41)</f>
        <v>277.6573069201728</v>
      </c>
      <c r="F42" s="444">
        <f>SUM(F12:F14, F17:F24, F27:F29, F32:F41)</f>
        <v>613.38584185045715</v>
      </c>
      <c r="G42" s="445" t="s">
        <v>4</v>
      </c>
      <c r="H42" s="446">
        <f>SUM(C42:F42)</f>
        <v>1446.2754893614535</v>
      </c>
      <c r="I42" s="117"/>
      <c r="J42" s="476"/>
      <c r="K42" s="476"/>
      <c r="L42" s="477"/>
      <c r="M42" s="477"/>
      <c r="N42" s="477"/>
      <c r="O42" s="477"/>
      <c r="P42" s="475"/>
    </row>
    <row r="43" spans="2:19" s="120" customFormat="1" ht="15" customHeight="1">
      <c r="B43" s="593"/>
      <c r="C43" s="133"/>
      <c r="D43" s="133"/>
      <c r="E43" s="133"/>
      <c r="F43" s="133"/>
      <c r="G43" s="924"/>
      <c r="H43" s="265"/>
    </row>
    <row r="44" spans="2:19" s="119" customFormat="1" ht="15" customHeight="1">
      <c r="B44" s="116" t="s">
        <v>914</v>
      </c>
      <c r="C44" s="133"/>
      <c r="D44" s="133"/>
      <c r="E44" s="133"/>
      <c r="F44" s="133"/>
      <c r="G44" s="924"/>
      <c r="H44" s="265"/>
      <c r="I44" s="120"/>
    </row>
    <row r="45" spans="2:19" ht="15" customHeight="1">
      <c r="B45" s="921" t="s">
        <v>3</v>
      </c>
      <c r="C45" s="514"/>
      <c r="D45" s="522"/>
      <c r="E45" s="522"/>
      <c r="F45" s="528"/>
      <c r="G45" s="983"/>
      <c r="H45" s="491"/>
      <c r="I45" s="109"/>
      <c r="J45" s="118"/>
      <c r="K45" s="112"/>
      <c r="L45" s="111"/>
      <c r="M45" s="111"/>
      <c r="N45" s="111"/>
      <c r="O45" s="111"/>
      <c r="P45" s="109"/>
    </row>
    <row r="46" spans="2:19" ht="15" customHeight="1">
      <c r="B46" s="132" t="s">
        <v>182</v>
      </c>
      <c r="C46" s="512">
        <f>'BW6-Harvest and Wash-Pack'!D31+'BW2-Field Act. Labor &amp; Mach.'!I54</f>
        <v>1193.8850500000001</v>
      </c>
      <c r="D46" s="520">
        <f>'BW2-Field Act. Labor &amp; Mach.'!K54</f>
        <v>0.13284863512476036</v>
      </c>
      <c r="E46" s="520">
        <f>'BW2-Field Act. Labor &amp; Mach.'!L54</f>
        <v>0.73508522727272718</v>
      </c>
      <c r="F46" s="526"/>
      <c r="G46" s="1029" t="s">
        <v>852</v>
      </c>
      <c r="H46" s="265"/>
      <c r="I46" s="109"/>
      <c r="J46" s="118"/>
      <c r="K46" s="112"/>
      <c r="L46" s="113"/>
      <c r="M46" s="113"/>
      <c r="N46" s="113"/>
      <c r="O46" s="113"/>
      <c r="P46" s="109"/>
    </row>
    <row r="47" spans="2:19" ht="15" customHeight="1">
      <c r="B47" s="510" t="s">
        <v>357</v>
      </c>
      <c r="C47" s="517"/>
      <c r="D47" s="523"/>
      <c r="E47" s="523"/>
      <c r="F47" s="530">
        <v>87.12</v>
      </c>
      <c r="G47" s="1029"/>
      <c r="H47" s="463"/>
      <c r="I47" s="115"/>
      <c r="J47" s="118"/>
      <c r="K47" s="112"/>
      <c r="L47" s="113"/>
      <c r="M47" s="113"/>
      <c r="N47" s="113"/>
      <c r="O47" s="113"/>
      <c r="P47" s="109"/>
    </row>
    <row r="48" spans="2:19" ht="15" customHeight="1">
      <c r="B48" s="416" t="s">
        <v>349</v>
      </c>
      <c r="C48" s="513">
        <f>'BW6-Harvest and Wash-Pack'!F31</f>
        <v>329.80250000000001</v>
      </c>
      <c r="D48" s="521"/>
      <c r="E48" s="521"/>
      <c r="F48" s="527"/>
      <c r="G48" s="1030" t="s">
        <v>852</v>
      </c>
      <c r="H48" s="492"/>
      <c r="I48" s="109"/>
      <c r="J48" s="118"/>
      <c r="K48" s="112"/>
      <c r="L48" s="113"/>
      <c r="M48" s="113"/>
      <c r="N48" s="113"/>
      <c r="O48" s="113"/>
      <c r="P48" s="109"/>
    </row>
    <row r="49" spans="2:16" s="453" customFormat="1" ht="15" customHeight="1">
      <c r="B49" s="824" t="s">
        <v>508</v>
      </c>
      <c r="C49" s="444">
        <f>SUM(C46:C48)</f>
        <v>1523.6875500000001</v>
      </c>
      <c r="D49" s="444">
        <f>SUM(D46:D48)</f>
        <v>0.13284863512476036</v>
      </c>
      <c r="E49" s="444">
        <f>SUM(E46:E48)</f>
        <v>0.73508522727272718</v>
      </c>
      <c r="F49" s="444">
        <f>SUM(F46:F48)</f>
        <v>87.12</v>
      </c>
      <c r="G49" s="445" t="s">
        <v>4</v>
      </c>
      <c r="H49" s="446">
        <f>SUM(C49:F49)</f>
        <v>1611.6754838623974</v>
      </c>
      <c r="I49" s="117"/>
      <c r="J49" s="476"/>
      <c r="K49" s="476"/>
      <c r="L49" s="477"/>
      <c r="M49" s="477"/>
      <c r="N49" s="477"/>
      <c r="O49" s="477"/>
      <c r="P49" s="475"/>
    </row>
    <row r="50" spans="2:16" s="120" customFormat="1" ht="15" customHeight="1">
      <c r="B50" s="593"/>
      <c r="C50" s="133"/>
      <c r="D50" s="133"/>
      <c r="E50" s="133"/>
      <c r="F50" s="133"/>
      <c r="G50" s="924"/>
      <c r="H50" s="265"/>
    </row>
    <row r="51" spans="2:16" s="119" customFormat="1" ht="15" customHeight="1">
      <c r="B51" s="116" t="s">
        <v>662</v>
      </c>
      <c r="C51" s="133"/>
      <c r="D51" s="133"/>
      <c r="E51" s="133"/>
      <c r="F51" s="133"/>
      <c r="G51" s="924"/>
      <c r="H51" s="265"/>
    </row>
    <row r="52" spans="2:16" ht="15" customHeight="1">
      <c r="B52" s="921" t="s">
        <v>663</v>
      </c>
      <c r="C52" s="515"/>
      <c r="D52" s="438"/>
      <c r="E52" s="438"/>
      <c r="F52" s="529"/>
      <c r="G52" s="494"/>
      <c r="H52" s="494"/>
      <c r="I52" s="110"/>
      <c r="J52" s="112"/>
      <c r="K52" s="112"/>
      <c r="L52" s="113"/>
      <c r="M52" s="113"/>
      <c r="N52" s="113"/>
      <c r="O52" s="113"/>
      <c r="P52" s="109"/>
    </row>
    <row r="53" spans="2:16" ht="15" customHeight="1">
      <c r="B53" s="462" t="s">
        <v>43</v>
      </c>
      <c r="C53" s="512">
        <f>'BW2-Field Act. Labor &amp; Mach.'!$I$66</f>
        <v>5.27684</v>
      </c>
      <c r="D53" s="520">
        <f>'BW2-Field Act. Labor &amp; Mach.'!K66</f>
        <v>4.7393418269465482</v>
      </c>
      <c r="E53" s="520">
        <f>'BW2-Field Act. Labor &amp; Mach.'!L66</f>
        <v>4.8215303303156709</v>
      </c>
      <c r="F53" s="526"/>
      <c r="G53" s="463"/>
      <c r="H53" s="463"/>
      <c r="I53" s="115"/>
      <c r="J53" s="118"/>
      <c r="K53" s="112"/>
      <c r="L53" s="113"/>
      <c r="M53" s="113"/>
      <c r="N53" s="113"/>
      <c r="O53" s="113"/>
      <c r="P53" s="109"/>
    </row>
    <row r="54" spans="2:16" ht="15" customHeight="1">
      <c r="B54" s="132" t="s">
        <v>150</v>
      </c>
      <c r="C54" s="512">
        <f>'BW2-Field Act. Labor &amp; Mach.'!$I$65</f>
        <v>42.21472</v>
      </c>
      <c r="D54" s="520">
        <f>'BW2-Field Act. Labor &amp; Mach.'!K65</f>
        <v>3.4075700159999998</v>
      </c>
      <c r="E54" s="520">
        <f>'BW2-Field Act. Labor &amp; Mach.'!L65</f>
        <v>2.89283314099518</v>
      </c>
      <c r="F54" s="526"/>
      <c r="G54" s="463"/>
      <c r="H54" s="463"/>
      <c r="I54" s="110"/>
      <c r="J54" s="118"/>
      <c r="K54" s="112"/>
      <c r="L54" s="113"/>
      <c r="M54" s="113"/>
      <c r="N54" s="113"/>
      <c r="O54" s="113"/>
      <c r="P54" s="109"/>
    </row>
    <row r="55" spans="2:16" ht="15" customHeight="1">
      <c r="B55" s="462" t="s">
        <v>44</v>
      </c>
      <c r="C55" s="512">
        <f>'BW2-Field Act. Labor &amp; Mach.'!$I$67</f>
        <v>5.27684</v>
      </c>
      <c r="D55" s="520">
        <f>'BW2-Field Act. Labor &amp; Mach.'!K67</f>
        <v>4.5754035882945541</v>
      </c>
      <c r="E55" s="520">
        <f>'BW2-Field Act. Labor &amp; Mach.'!L67</f>
        <v>8.7882358546602415</v>
      </c>
      <c r="F55" s="526"/>
      <c r="G55" s="463"/>
      <c r="H55" s="463"/>
      <c r="I55" s="110"/>
      <c r="J55" s="112"/>
      <c r="K55" s="112"/>
      <c r="L55" s="113"/>
      <c r="M55" s="113"/>
      <c r="N55" s="113"/>
      <c r="O55" s="113"/>
      <c r="P55" s="109"/>
    </row>
    <row r="56" spans="2:16" ht="15" customHeight="1">
      <c r="B56" s="462" t="s">
        <v>45</v>
      </c>
      <c r="C56" s="512">
        <f>'BW2-Field Act. Labor &amp; Mach.'!$I$69</f>
        <v>14.511310000000002</v>
      </c>
      <c r="D56" s="520">
        <f>'BW2-Field Act. Labor &amp; Mach.'!K69</f>
        <v>5.9046727740142977</v>
      </c>
      <c r="E56" s="520">
        <f>'BW2-Field Act. Labor &amp; Mach.'!L69</f>
        <v>8.041581086300118</v>
      </c>
      <c r="F56" s="526"/>
      <c r="G56" s="463"/>
      <c r="H56" s="463"/>
      <c r="I56" s="110"/>
      <c r="J56" s="112"/>
      <c r="K56" s="112"/>
      <c r="L56" s="113"/>
      <c r="M56" s="113"/>
      <c r="N56" s="113"/>
      <c r="O56" s="113"/>
      <c r="P56" s="109"/>
    </row>
    <row r="57" spans="2:16" ht="15" customHeight="1">
      <c r="B57" s="500" t="str">
        <f>'BW3-Variable Input'!$B$33</f>
        <v>Winter cover crop seed</v>
      </c>
      <c r="C57" s="513"/>
      <c r="D57" s="521"/>
      <c r="E57" s="521"/>
      <c r="F57" s="527">
        <f>'BW3-Variable Input'!$C$33</f>
        <v>31.793452380952385</v>
      </c>
      <c r="G57" s="485"/>
      <c r="H57" s="485"/>
      <c r="I57" s="110"/>
      <c r="J57" s="112"/>
      <c r="K57" s="112"/>
      <c r="L57" s="113"/>
      <c r="M57" s="113"/>
      <c r="N57" s="113"/>
      <c r="O57" s="113"/>
      <c r="P57" s="109"/>
    </row>
    <row r="58" spans="2:16" s="453" customFormat="1" ht="15" customHeight="1">
      <c r="B58" s="824" t="s">
        <v>508</v>
      </c>
      <c r="C58" s="444">
        <f>SUM(C53:C57)</f>
        <v>67.279709999999994</v>
      </c>
      <c r="D58" s="444">
        <f>SUM(D53:D57)</f>
        <v>18.626988205255401</v>
      </c>
      <c r="E58" s="444">
        <f>SUM(E53:E57)</f>
        <v>24.54418041227121</v>
      </c>
      <c r="F58" s="444">
        <f>SUM(F53:F57)</f>
        <v>31.793452380952385</v>
      </c>
      <c r="G58" s="447" t="s">
        <v>4</v>
      </c>
      <c r="H58" s="446">
        <f>SUM(C58:F58)</f>
        <v>142.24433099847897</v>
      </c>
      <c r="I58" s="117"/>
      <c r="J58" s="476"/>
      <c r="K58" s="476"/>
      <c r="L58" s="478"/>
      <c r="M58" s="478"/>
      <c r="N58" s="478"/>
      <c r="O58" s="478"/>
      <c r="P58" s="475"/>
    </row>
    <row r="59" spans="2:16" s="120" customFormat="1" ht="15" customHeight="1">
      <c r="B59" s="593"/>
      <c r="C59" s="133"/>
      <c r="D59" s="133"/>
      <c r="E59" s="133"/>
      <c r="F59" s="133"/>
      <c r="G59" s="463"/>
      <c r="H59" s="463"/>
      <c r="I59" s="115"/>
      <c r="J59" s="825"/>
      <c r="K59" s="127"/>
      <c r="L59" s="113"/>
      <c r="M59" s="113"/>
      <c r="N59" s="113"/>
      <c r="O59" s="113"/>
    </row>
    <row r="60" spans="2:16" s="453" customFormat="1" ht="15" customHeight="1">
      <c r="B60" s="116" t="s">
        <v>515</v>
      </c>
      <c r="C60" s="444">
        <f>C42+C49+C58</f>
        <v>2026.915900890411</v>
      </c>
      <c r="D60" s="444">
        <f>D42+D49+D58</f>
        <v>138.04353654079281</v>
      </c>
      <c r="E60" s="444">
        <f>E42+E49+E58</f>
        <v>302.93657255971675</v>
      </c>
      <c r="F60" s="444">
        <f>F42+F49+F58</f>
        <v>732.29929423140959</v>
      </c>
      <c r="G60" s="447" t="s">
        <v>4</v>
      </c>
      <c r="H60" s="446">
        <f>SUM(C60:F60)</f>
        <v>3200.1953042223299</v>
      </c>
      <c r="I60" s="117"/>
      <c r="J60" s="476"/>
      <c r="K60" s="476"/>
      <c r="L60" s="478"/>
      <c r="M60" s="478"/>
      <c r="N60" s="478"/>
      <c r="O60" s="478"/>
      <c r="P60" s="475"/>
    </row>
    <row r="61" spans="2:16" ht="15" customHeight="1">
      <c r="B61" s="114"/>
      <c r="C61" s="133"/>
      <c r="D61" s="133"/>
      <c r="E61" s="133"/>
      <c r="F61" s="133"/>
      <c r="G61" s="463"/>
      <c r="H61" s="463"/>
      <c r="I61" s="110"/>
      <c r="J61" s="112"/>
      <c r="K61" s="112"/>
      <c r="L61" s="113"/>
      <c r="M61" s="113"/>
      <c r="N61" s="113"/>
      <c r="O61" s="113"/>
      <c r="P61" s="109"/>
    </row>
    <row r="62" spans="2:16">
      <c r="B62" s="1032"/>
      <c r="C62" s="1033"/>
      <c r="D62" s="1033"/>
      <c r="E62" s="1033"/>
      <c r="F62" s="1033"/>
      <c r="G62" s="1033"/>
      <c r="H62" s="1033"/>
    </row>
    <row r="63" spans="2:16">
      <c r="B63" s="916"/>
      <c r="C63" s="916"/>
      <c r="D63" s="916"/>
      <c r="E63" s="916"/>
      <c r="F63" s="916"/>
      <c r="G63" s="916"/>
      <c r="H63" s="916"/>
    </row>
    <row r="64" spans="2:16">
      <c r="B64" s="116" t="s">
        <v>664</v>
      </c>
      <c r="C64" s="916"/>
      <c r="D64" s="916"/>
      <c r="E64" s="916"/>
      <c r="F64" s="916"/>
      <c r="G64" s="916"/>
      <c r="H64" s="916"/>
    </row>
    <row r="65" spans="2:15">
      <c r="B65" s="985" t="s">
        <v>668</v>
      </c>
      <c r="C65" s="916"/>
      <c r="D65" s="916"/>
      <c r="E65" s="916"/>
      <c r="F65" s="916"/>
      <c r="G65" s="916"/>
      <c r="H65" s="986">
        <f>C42+C58</f>
        <v>503.22835089041087</v>
      </c>
    </row>
    <row r="66" spans="2:15">
      <c r="B66" s="135" t="s">
        <v>667</v>
      </c>
      <c r="C66" s="916"/>
      <c r="D66" s="916"/>
      <c r="E66" s="916"/>
      <c r="F66" s="916"/>
      <c r="G66" s="916"/>
      <c r="H66" s="986">
        <f>D42+D58</f>
        <v>137.91068790566806</v>
      </c>
    </row>
    <row r="67" spans="2:15" ht="15" customHeight="1">
      <c r="B67" s="985" t="s">
        <v>669</v>
      </c>
      <c r="C67" s="469"/>
      <c r="D67" s="133"/>
      <c r="E67" s="444"/>
      <c r="F67" s="464"/>
      <c r="G67" s="442"/>
      <c r="H67" s="463">
        <f>F42+F58</f>
        <v>645.17929423140959</v>
      </c>
      <c r="I67" s="118"/>
      <c r="J67" s="112"/>
      <c r="K67" s="113"/>
      <c r="L67" s="113"/>
      <c r="M67" s="113"/>
      <c r="N67" s="113"/>
      <c r="O67" s="109"/>
    </row>
    <row r="68" spans="2:15" ht="15" customHeight="1">
      <c r="B68" s="831" t="s">
        <v>666</v>
      </c>
      <c r="C68" s="469"/>
      <c r="D68" s="469"/>
      <c r="E68" s="592"/>
      <c r="F68" s="464"/>
      <c r="G68" s="442"/>
      <c r="H68" s="848">
        <f>SUM(H65:H67)</f>
        <v>1286.3183330274885</v>
      </c>
      <c r="I68" s="112"/>
      <c r="J68" s="112"/>
      <c r="K68" s="113"/>
      <c r="L68" s="113"/>
      <c r="M68" s="113"/>
      <c r="N68" s="113"/>
      <c r="O68" s="109"/>
    </row>
    <row r="69" spans="2:15" ht="15" customHeight="1">
      <c r="B69" s="985" t="s">
        <v>680</v>
      </c>
      <c r="C69" s="469"/>
      <c r="D69" s="469"/>
      <c r="E69" s="469"/>
      <c r="F69" s="132"/>
      <c r="G69" s="442"/>
      <c r="H69" s="463">
        <f>C49</f>
        <v>1523.6875500000001</v>
      </c>
      <c r="I69" s="112"/>
      <c r="J69" s="112"/>
      <c r="K69" s="113"/>
      <c r="L69" s="113"/>
      <c r="M69" s="113"/>
      <c r="N69" s="113"/>
      <c r="O69" s="109"/>
    </row>
    <row r="70" spans="2:15" ht="15" customHeight="1">
      <c r="B70" s="985" t="s">
        <v>445</v>
      </c>
      <c r="C70" s="469"/>
      <c r="D70" s="469"/>
      <c r="E70" s="469"/>
      <c r="F70" s="132"/>
      <c r="G70" s="442"/>
      <c r="H70" s="463">
        <f>D49</f>
        <v>0.13284863512476036</v>
      </c>
      <c r="I70" s="112"/>
      <c r="J70" s="112"/>
      <c r="K70" s="113"/>
      <c r="L70" s="113"/>
      <c r="M70" s="113"/>
      <c r="N70" s="113"/>
      <c r="O70" s="109"/>
    </row>
    <row r="71" spans="2:15" ht="15" customHeight="1">
      <c r="B71" s="985" t="s">
        <v>670</v>
      </c>
      <c r="C71" s="469"/>
      <c r="D71" s="444"/>
      <c r="E71" s="469"/>
      <c r="F71" s="132"/>
      <c r="G71" s="132"/>
      <c r="H71" s="463">
        <f>F49</f>
        <v>87.12</v>
      </c>
      <c r="I71" s="112"/>
      <c r="J71" s="112"/>
      <c r="K71" s="113"/>
      <c r="L71" s="113"/>
      <c r="M71" s="113"/>
      <c r="N71" s="113"/>
      <c r="O71" s="109"/>
    </row>
    <row r="72" spans="2:15" ht="15" customHeight="1">
      <c r="B72" s="831" t="s">
        <v>671</v>
      </c>
      <c r="C72" s="43"/>
      <c r="D72" s="43"/>
      <c r="E72" s="832"/>
      <c r="F72" s="43"/>
      <c r="G72" s="43"/>
      <c r="H72" s="598">
        <f>SUM(H69:H71)</f>
        <v>1610.9403986351249</v>
      </c>
      <c r="I72" s="112"/>
      <c r="J72" s="112"/>
      <c r="K72" s="113"/>
      <c r="L72" s="113"/>
      <c r="M72" s="113"/>
      <c r="N72" s="113"/>
      <c r="O72" s="109"/>
    </row>
    <row r="73" spans="2:15" ht="15" customHeight="1">
      <c r="B73" s="833" t="s">
        <v>513</v>
      </c>
      <c r="C73" s="919"/>
      <c r="D73" s="919"/>
      <c r="E73" s="987"/>
      <c r="F73" s="988"/>
      <c r="G73" s="919"/>
      <c r="H73" s="818">
        <f>H68+H72</f>
        <v>2897.2587316626132</v>
      </c>
      <c r="I73" s="112"/>
      <c r="J73" s="112"/>
      <c r="K73" s="113"/>
      <c r="L73" s="113"/>
      <c r="M73" s="113"/>
      <c r="N73" s="113"/>
      <c r="O73" s="109"/>
    </row>
    <row r="74" spans="2:15" ht="15" customHeight="1">
      <c r="B74" s="985" t="s">
        <v>672</v>
      </c>
      <c r="C74" s="135"/>
      <c r="D74" s="135"/>
      <c r="E74" s="472"/>
      <c r="F74" s="135"/>
      <c r="G74" s="135"/>
      <c r="H74" s="989">
        <f>E42+E58</f>
        <v>302.201487332444</v>
      </c>
      <c r="I74" s="112"/>
      <c r="J74" s="112"/>
      <c r="K74" s="113"/>
      <c r="L74" s="113"/>
      <c r="M74" s="113"/>
      <c r="N74" s="113"/>
      <c r="O74" s="109"/>
    </row>
    <row r="75" spans="2:15" ht="15" customHeight="1">
      <c r="B75" s="985" t="s">
        <v>673</v>
      </c>
      <c r="C75" s="135"/>
      <c r="D75" s="135"/>
      <c r="E75" s="472"/>
      <c r="F75" s="135"/>
      <c r="G75" s="135"/>
      <c r="H75" s="990">
        <f>E49</f>
        <v>0.73508522727272718</v>
      </c>
      <c r="I75" s="112"/>
      <c r="J75" s="112"/>
      <c r="K75" s="113"/>
      <c r="L75" s="113"/>
      <c r="M75" s="113"/>
      <c r="N75" s="113"/>
      <c r="O75" s="109"/>
    </row>
    <row r="76" spans="2:15" ht="15" customHeight="1">
      <c r="B76" s="837" t="s">
        <v>514</v>
      </c>
      <c r="C76" s="919"/>
      <c r="D76" s="919"/>
      <c r="E76" s="987"/>
      <c r="F76" s="988"/>
      <c r="G76" s="919"/>
      <c r="H76" s="819">
        <f>H74+H75</f>
        <v>302.93657255971675</v>
      </c>
      <c r="I76" s="112"/>
      <c r="J76" s="112"/>
      <c r="K76" s="113"/>
      <c r="L76" s="113"/>
      <c r="M76" s="113"/>
      <c r="N76" s="113"/>
      <c r="O76" s="109"/>
    </row>
    <row r="77" spans="2:15" ht="15" customHeight="1">
      <c r="B77" s="264"/>
      <c r="C77" s="402"/>
      <c r="D77" s="242"/>
      <c r="E77" s="402"/>
      <c r="F77" s="400"/>
      <c r="G77" s="400"/>
      <c r="H77" s="443"/>
      <c r="I77" s="112"/>
      <c r="J77" s="112"/>
      <c r="K77" s="113"/>
      <c r="L77" s="113"/>
      <c r="M77" s="113"/>
      <c r="N77" s="113"/>
      <c r="O77" s="109"/>
    </row>
    <row r="78" spans="2:15">
      <c r="B78" s="400"/>
      <c r="C78" s="402"/>
      <c r="D78" s="402"/>
      <c r="E78" s="402"/>
      <c r="F78" s="400"/>
      <c r="G78" s="443"/>
      <c r="H78" s="443"/>
      <c r="I78" s="112"/>
      <c r="J78" s="112"/>
      <c r="K78" s="111"/>
      <c r="L78" s="111"/>
      <c r="M78" s="111"/>
      <c r="N78" s="111"/>
      <c r="O78" s="109"/>
    </row>
    <row r="79" spans="2:15">
      <c r="B79" s="400"/>
      <c r="C79" s="400"/>
      <c r="D79" s="400"/>
      <c r="E79" s="400"/>
      <c r="F79" s="400"/>
      <c r="G79" s="443"/>
      <c r="H79" s="443"/>
      <c r="I79" s="112"/>
      <c r="J79" s="112"/>
      <c r="K79" s="111"/>
      <c r="L79" s="111"/>
      <c r="M79" s="111"/>
      <c r="N79" s="111"/>
      <c r="O79" s="109"/>
    </row>
    <row r="80" spans="2:15">
      <c r="B80" s="400"/>
      <c r="C80" s="403"/>
      <c r="D80" s="403"/>
      <c r="E80" s="403"/>
      <c r="F80" s="403"/>
      <c r="H80" s="243"/>
      <c r="K80" s="109"/>
      <c r="L80" s="109"/>
      <c r="M80" s="109"/>
      <c r="N80" s="109"/>
      <c r="O80" s="109"/>
    </row>
  </sheetData>
  <sheetProtection sheet="1" objects="1" scenarios="1"/>
  <mergeCells count="4">
    <mergeCell ref="E5:H6"/>
    <mergeCell ref="G1:H1"/>
    <mergeCell ref="G11:H14"/>
    <mergeCell ref="G39:H4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5"/>
  <sheetViews>
    <sheetView showGridLines="0" view="pageLayout" topLeftCell="A26" workbookViewId="0">
      <selection activeCell="B39" sqref="B39"/>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Index'!B50</f>
        <v>Scallions</v>
      </c>
      <c r="C2" s="221"/>
      <c r="D2" s="221"/>
      <c r="E2" s="221"/>
      <c r="I2" s="120"/>
      <c r="J2" s="120"/>
      <c r="K2" s="120"/>
      <c r="L2" s="109"/>
      <c r="M2" s="109"/>
      <c r="N2" s="109"/>
    </row>
    <row r="3" spans="2:19" ht="34"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7">
        <f>'BW1-Bed and Row Spacing'!J32</f>
        <v>6701.5384615384619</v>
      </c>
      <c r="F4" s="135"/>
      <c r="G4" s="135"/>
      <c r="H4" s="135"/>
      <c r="I4" s="226"/>
      <c r="J4" s="226"/>
      <c r="K4" s="226"/>
      <c r="L4" s="109"/>
      <c r="M4" s="110"/>
      <c r="N4" s="111"/>
      <c r="O4" s="112"/>
      <c r="P4" s="112"/>
      <c r="Q4" s="112"/>
      <c r="R4" s="112"/>
      <c r="S4" s="112"/>
    </row>
    <row r="5" spans="2:19">
      <c r="B5" s="915"/>
      <c r="C5" s="132" t="s">
        <v>366</v>
      </c>
      <c r="D5" s="916"/>
      <c r="E5" s="1338" t="s">
        <v>836</v>
      </c>
      <c r="F5" s="1338"/>
      <c r="G5" s="1338"/>
      <c r="H5" s="1338"/>
      <c r="I5" s="225"/>
      <c r="J5" s="225"/>
      <c r="K5" s="225"/>
      <c r="L5" s="127"/>
      <c r="M5" s="110"/>
      <c r="N5" s="111"/>
      <c r="O5" s="112"/>
      <c r="P5" s="112"/>
      <c r="Q5" s="112"/>
      <c r="R5" s="112"/>
      <c r="S5" s="112"/>
    </row>
    <row r="6" spans="2:19">
      <c r="B6" s="223"/>
      <c r="C6" s="915"/>
      <c r="D6" s="916"/>
      <c r="E6" s="1338"/>
      <c r="F6" s="1338"/>
      <c r="G6" s="1338"/>
      <c r="H6" s="1338"/>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5" customHeight="1">
      <c r="B11" s="922" t="s">
        <v>181</v>
      </c>
      <c r="C11" s="999"/>
      <c r="D11" s="1000"/>
      <c r="E11" s="1000"/>
      <c r="F11" s="1001"/>
      <c r="G11" s="509"/>
      <c r="H11" s="509"/>
      <c r="I11" s="110"/>
      <c r="J11" s="118"/>
      <c r="K11" s="112"/>
      <c r="L11" s="112"/>
      <c r="M11" s="112"/>
      <c r="N11" s="112"/>
      <c r="O11" s="112"/>
    </row>
    <row r="12" spans="2:19" ht="15" customHeight="1">
      <c r="B12" s="265" t="s">
        <v>145</v>
      </c>
      <c r="C12" s="512">
        <f>'BW2-Field Act. Labor &amp; Mach.'!I9</f>
        <v>9.23447</v>
      </c>
      <c r="D12" s="520">
        <f>'BW2-Field Act. Labor &amp; Mach.'!K9</f>
        <v>7.1626812745625896</v>
      </c>
      <c r="E12" s="520">
        <f>'BW2-Field Act. Labor &amp; Mach.'!L9</f>
        <v>6.5697668891297312</v>
      </c>
      <c r="F12" s="526"/>
      <c r="G12" s="465"/>
      <c r="H12" s="465"/>
      <c r="I12" s="5"/>
      <c r="J12" s="112"/>
      <c r="K12" s="118"/>
      <c r="L12" s="118"/>
      <c r="M12" s="112"/>
      <c r="N12" s="112"/>
      <c r="O12" s="112"/>
    </row>
    <row r="13" spans="2:19" ht="15" customHeight="1">
      <c r="B13" s="132" t="s">
        <v>46</v>
      </c>
      <c r="C13" s="512">
        <f>'BW2-Field Act. Labor &amp; Mach.'!I10</f>
        <v>11.87289</v>
      </c>
      <c r="D13" s="520">
        <f>'BW2-Field Act. Labor &amp; Mach.'!K10</f>
        <v>16.900081383311999</v>
      </c>
      <c r="E13" s="520">
        <f>'BW2-Field Act. Labor &amp; Mach.'!L10</f>
        <v>23.703168100043012</v>
      </c>
      <c r="F13" s="526"/>
      <c r="G13" s="133"/>
      <c r="H13" s="465"/>
      <c r="I13" s="5"/>
      <c r="J13" s="112"/>
      <c r="K13" s="112"/>
      <c r="L13" s="112"/>
      <c r="M13" s="118"/>
      <c r="N13" s="112"/>
      <c r="O13" s="112"/>
    </row>
    <row r="14" spans="2:19" ht="15" customHeight="1">
      <c r="B14" s="151" t="s">
        <v>69</v>
      </c>
      <c r="C14" s="512"/>
      <c r="D14" s="520"/>
      <c r="E14" s="520"/>
      <c r="F14" s="526">
        <f>'BW3-Variable Input'!C9</f>
        <v>116.66666666666667</v>
      </c>
      <c r="G14" s="133"/>
      <c r="H14" s="465"/>
      <c r="I14" s="5"/>
      <c r="J14" s="112"/>
      <c r="K14" s="112"/>
      <c r="L14" s="112"/>
      <c r="M14" s="118"/>
      <c r="N14" s="112"/>
      <c r="O14" s="112"/>
    </row>
    <row r="15" spans="2:19" ht="15" customHeight="1">
      <c r="B15" s="132" t="s">
        <v>11</v>
      </c>
      <c r="C15" s="512">
        <f>'BW2-Field Act. Labor &amp; Mach.'!I13</f>
        <v>22.426569999999998</v>
      </c>
      <c r="D15" s="520">
        <f>'BW2-Field Act. Labor &amp; Mach.'!K13</f>
        <v>17.993866831056</v>
      </c>
      <c r="E15" s="520">
        <f>'BW2-Field Act. Labor &amp; Mach.'!L13</f>
        <v>44.771770188886023</v>
      </c>
      <c r="F15" s="526"/>
      <c r="G15" s="133"/>
      <c r="H15" s="463"/>
      <c r="I15" s="5"/>
      <c r="J15" s="112"/>
      <c r="K15" s="112"/>
      <c r="L15" s="112"/>
      <c r="M15" s="118"/>
      <c r="N15" s="112"/>
      <c r="O15" s="112"/>
    </row>
    <row r="16" spans="2:19" ht="15" customHeight="1">
      <c r="B16" s="132" t="s">
        <v>12</v>
      </c>
      <c r="C16" s="512">
        <f>'BW2-Field Act. Labor &amp; Mach.'!I14</f>
        <v>10.55368</v>
      </c>
      <c r="D16" s="520">
        <f>'BW2-Field Act. Labor &amp; Mach.'!K14</f>
        <v>9.2140341759999984</v>
      </c>
      <c r="E16" s="520">
        <f>'BW2-Field Act. Labor &amp; Mach.'!L14</f>
        <v>29.935417361494395</v>
      </c>
      <c r="F16" s="526"/>
      <c r="G16" s="133"/>
      <c r="H16" s="463"/>
      <c r="I16" s="5"/>
      <c r="J16" s="112"/>
      <c r="K16" s="112"/>
      <c r="L16" s="112"/>
      <c r="M16" s="112"/>
      <c r="N16" s="112"/>
      <c r="O16" s="112"/>
    </row>
    <row r="17" spans="2:15" ht="15" customHeight="1">
      <c r="B17" s="132" t="s">
        <v>144</v>
      </c>
      <c r="C17" s="512">
        <f>'BW2-Field Act. Labor &amp; Mach.'!I15</f>
        <v>59.364449999999998</v>
      </c>
      <c r="D17" s="520">
        <f>'BW2-Field Act. Labor &amp; Mach.'!K15</f>
        <v>11.732543673988348</v>
      </c>
      <c r="E17" s="520">
        <f>'BW2-Field Act. Labor &amp; Mach.'!L15</f>
        <v>19.938595491388046</v>
      </c>
      <c r="F17" s="526"/>
      <c r="G17" s="133"/>
      <c r="H17" s="463"/>
      <c r="I17" s="5"/>
      <c r="J17" s="112"/>
      <c r="K17" s="112"/>
      <c r="L17" s="112"/>
      <c r="M17" s="112"/>
      <c r="N17" s="112"/>
      <c r="O17" s="112"/>
    </row>
    <row r="18" spans="2:15" ht="15" customHeight="1">
      <c r="B18" s="151" t="s">
        <v>313</v>
      </c>
      <c r="C18" s="512"/>
      <c r="D18" s="520"/>
      <c r="E18" s="520"/>
      <c r="F18" s="526">
        <f>'BW3-Variable Input'!C23</f>
        <v>125.09538461538463</v>
      </c>
      <c r="G18" s="133"/>
      <c r="H18" s="463"/>
      <c r="I18" s="5"/>
      <c r="J18" s="112"/>
      <c r="K18" s="112"/>
      <c r="L18" s="112"/>
      <c r="M18" s="112"/>
      <c r="N18" s="112"/>
      <c r="O18" s="112"/>
    </row>
    <row r="19" spans="2:15" ht="15" customHeight="1">
      <c r="B19" s="416" t="s">
        <v>192</v>
      </c>
      <c r="C19" s="513">
        <f>'BW2-Field Act. Labor &amp; Mach.'!I16*2</f>
        <v>21.10736</v>
      </c>
      <c r="D19" s="521">
        <f>'BW2-Field Act. Labor &amp; Mach.'!K16*2</f>
        <v>12.051200395575469</v>
      </c>
      <c r="E19" s="521">
        <f>'BW2-Field Act. Labor &amp; Mach.'!L16*2</f>
        <v>17.332156747393537</v>
      </c>
      <c r="F19" s="527"/>
      <c r="G19" s="486"/>
      <c r="H19" s="485"/>
      <c r="I19" s="5"/>
      <c r="J19" s="118"/>
      <c r="K19" s="118"/>
      <c r="L19" s="118"/>
      <c r="M19" s="112"/>
      <c r="N19" s="112"/>
      <c r="O19" s="112"/>
    </row>
    <row r="20" spans="2:15" ht="15" customHeight="1">
      <c r="B20" s="132"/>
      <c r="C20" s="133"/>
      <c r="D20" s="133"/>
      <c r="E20" s="133"/>
      <c r="F20" s="133"/>
      <c r="G20" s="133"/>
      <c r="H20" s="466"/>
      <c r="I20" s="5"/>
      <c r="J20" s="112"/>
      <c r="K20" s="112"/>
      <c r="L20" s="112"/>
      <c r="M20" s="112"/>
      <c r="N20" s="112"/>
      <c r="O20" s="112"/>
    </row>
    <row r="21" spans="2:15" ht="15" customHeight="1">
      <c r="B21" s="921" t="s">
        <v>10</v>
      </c>
      <c r="C21" s="515"/>
      <c r="D21" s="438"/>
      <c r="E21" s="438"/>
      <c r="F21" s="529"/>
      <c r="G21" s="422"/>
      <c r="H21" s="494"/>
      <c r="I21" s="5"/>
      <c r="J21" s="112"/>
      <c r="K21" s="112"/>
      <c r="L21" s="112"/>
      <c r="M21" s="112"/>
      <c r="N21" s="112"/>
      <c r="O21" s="112"/>
    </row>
    <row r="22" spans="2:15" ht="15" customHeight="1">
      <c r="B22" s="132" t="str">
        <f>'BW2-Field Act. Labor &amp; Mach.'!B21</f>
        <v>Transplant on bareground</v>
      </c>
      <c r="C22" s="516">
        <f>'BW2-Field Act. Labor &amp; Mach.'!I21</f>
        <v>237.45779999999999</v>
      </c>
      <c r="D22" s="520">
        <f>'BW2-Field Act. Labor &amp; Mach.'!K21</f>
        <v>36.893392063675897</v>
      </c>
      <c r="E22" s="520">
        <f>'BW2-Field Act. Labor &amp; Mach.'!L21</f>
        <v>114.11450861195542</v>
      </c>
      <c r="F22" s="526"/>
      <c r="G22" s="133"/>
      <c r="H22" s="463"/>
      <c r="I22" s="110"/>
      <c r="J22" s="112"/>
      <c r="K22" s="112"/>
      <c r="L22" s="112"/>
      <c r="M22" s="112"/>
      <c r="N22" s="112"/>
      <c r="O22" s="112"/>
    </row>
    <row r="23" spans="2:15" ht="15" customHeight="1">
      <c r="B23" s="151" t="s">
        <v>685</v>
      </c>
      <c r="C23" s="512"/>
      <c r="D23" s="520"/>
      <c r="E23" s="520"/>
      <c r="F23" s="526">
        <f>'BW4-Transplant Production'!F21</f>
        <v>51.35612307692309</v>
      </c>
      <c r="G23" s="1029" t="s">
        <v>720</v>
      </c>
      <c r="H23" s="463"/>
      <c r="I23" s="110"/>
      <c r="J23" s="112"/>
      <c r="K23" s="112"/>
      <c r="L23" s="112"/>
      <c r="M23" s="112"/>
      <c r="N23" s="112"/>
      <c r="O23" s="112"/>
    </row>
    <row r="24" spans="2:15" ht="15" customHeight="1">
      <c r="B24" s="151" t="s">
        <v>459</v>
      </c>
      <c r="C24" s="512">
        <f>'BW4-Transplant Production'!D21</f>
        <v>494.43726620544493</v>
      </c>
      <c r="D24" s="520"/>
      <c r="E24" s="520"/>
      <c r="F24" s="526">
        <f>'BW4-Transplant Production'!E21</f>
        <v>279.58819889560959</v>
      </c>
      <c r="G24" s="1029" t="s">
        <v>720</v>
      </c>
      <c r="H24" s="463"/>
      <c r="I24" s="110"/>
      <c r="J24" s="112"/>
      <c r="K24" s="112"/>
      <c r="L24" s="112"/>
      <c r="M24" s="112"/>
      <c r="N24" s="112"/>
      <c r="O24" s="112"/>
    </row>
    <row r="25" spans="2:15" ht="15" customHeight="1">
      <c r="B25" s="418" t="s">
        <v>315</v>
      </c>
      <c r="C25" s="543"/>
      <c r="D25" s="521"/>
      <c r="E25" s="521"/>
      <c r="F25" s="527">
        <f>'BW3-Variable Input'!C10</f>
        <v>124</v>
      </c>
      <c r="G25" s="486"/>
      <c r="H25" s="485"/>
      <c r="I25" s="110"/>
      <c r="J25" s="112"/>
      <c r="K25" s="112"/>
      <c r="L25" s="112"/>
      <c r="M25" s="112"/>
      <c r="N25" s="112"/>
      <c r="O25" s="112"/>
    </row>
    <row r="26" spans="2:15" ht="15" customHeight="1">
      <c r="B26" s="132"/>
      <c r="C26" s="133"/>
      <c r="D26" s="133"/>
      <c r="E26" s="133"/>
      <c r="F26" s="133"/>
      <c r="G26" s="133"/>
      <c r="H26" s="466"/>
      <c r="I26" s="110"/>
      <c r="J26" s="112"/>
      <c r="K26" s="112"/>
      <c r="L26" s="112"/>
      <c r="M26" s="112"/>
      <c r="N26" s="112"/>
      <c r="O26" s="112"/>
    </row>
    <row r="27" spans="2:15" ht="15" customHeight="1">
      <c r="B27" s="921" t="s">
        <v>37</v>
      </c>
      <c r="C27" s="515"/>
      <c r="D27" s="438"/>
      <c r="E27" s="438"/>
      <c r="F27" s="529"/>
      <c r="G27" s="422"/>
      <c r="H27" s="494"/>
      <c r="I27" s="110"/>
      <c r="J27" s="112"/>
      <c r="K27" s="112"/>
      <c r="L27" s="112"/>
      <c r="M27" s="112"/>
      <c r="N27" s="112"/>
      <c r="O27" s="112"/>
    </row>
    <row r="28" spans="2:15" ht="15" customHeight="1">
      <c r="B28" s="462" t="s">
        <v>179</v>
      </c>
      <c r="C28" s="512">
        <f>'BW2-Field Act. Labor &amp; Mach.'!$I$31*2</f>
        <v>10.55368</v>
      </c>
      <c r="D28" s="520">
        <f>'BW2-Field Act. Labor &amp; Mach.'!K31*2</f>
        <v>1.6570295666513035</v>
      </c>
      <c r="E28" s="520">
        <f>'BW2-Field Act. Labor &amp; Mach.'!L31*2</f>
        <v>27.363002680965153</v>
      </c>
      <c r="F28" s="526"/>
      <c r="G28" s="133"/>
      <c r="H28" s="133"/>
      <c r="I28" s="110"/>
      <c r="J28" s="112"/>
      <c r="K28" s="118"/>
      <c r="L28" s="112"/>
      <c r="M28" s="112"/>
      <c r="N28" s="112"/>
      <c r="O28" s="112"/>
    </row>
    <row r="29" spans="2:15" ht="15" customHeight="1">
      <c r="B29" s="151" t="str">
        <f>'BW5-Irrigation'!$B$8</f>
        <v>Irrigation supply cost</v>
      </c>
      <c r="C29" s="512"/>
      <c r="D29" s="520"/>
      <c r="E29" s="520"/>
      <c r="F29" s="526">
        <f>'BW5-Irrigation'!$E$8</f>
        <v>32.773534158149545</v>
      </c>
      <c r="G29" s="1029" t="s">
        <v>851</v>
      </c>
      <c r="H29" s="463"/>
      <c r="I29" s="115"/>
      <c r="J29" s="118"/>
      <c r="K29" s="118"/>
      <c r="L29" s="118"/>
      <c r="M29" s="112"/>
      <c r="N29" s="112"/>
      <c r="O29" s="112"/>
    </row>
    <row r="30" spans="2:15" ht="15" customHeight="1">
      <c r="B30" s="132" t="str">
        <f>'BW5-Irrigation'!$B$9</f>
        <v>Irrigation set-up labor cost</v>
      </c>
      <c r="C30" s="512">
        <f>'BW5-Irrigation'!$E$9</f>
        <v>50.735370890410955</v>
      </c>
      <c r="D30" s="520"/>
      <c r="E30" s="520"/>
      <c r="F30" s="526"/>
      <c r="G30" s="1029" t="s">
        <v>851</v>
      </c>
      <c r="H30" s="463"/>
      <c r="I30" s="115"/>
      <c r="J30" s="118"/>
      <c r="K30" s="118"/>
      <c r="L30" s="118"/>
      <c r="M30" s="112"/>
      <c r="N30" s="112"/>
      <c r="O30" s="112"/>
    </row>
    <row r="31" spans="2:15" ht="15" customHeight="1">
      <c r="B31" s="132" t="s">
        <v>184</v>
      </c>
      <c r="C31" s="512">
        <f>'BW2-Field Act. Labor &amp; Mach.'!I39*'BW5-Irrigation'!C37</f>
        <v>126.64416</v>
      </c>
      <c r="D31" s="520"/>
      <c r="E31" s="520"/>
      <c r="F31" s="526"/>
      <c r="G31" s="133"/>
      <c r="H31" s="463"/>
      <c r="I31" s="115"/>
      <c r="J31" s="112"/>
      <c r="K31" s="118"/>
      <c r="L31" s="112"/>
      <c r="M31" s="112"/>
      <c r="N31" s="112"/>
      <c r="O31" s="112"/>
    </row>
    <row r="32" spans="2:15" ht="15" customHeight="1">
      <c r="B32" s="462" t="s">
        <v>230</v>
      </c>
      <c r="C32" s="517">
        <v>6.6</v>
      </c>
      <c r="D32" s="523">
        <f>'BW2-Field Act. Labor &amp; Mach.'!K32</f>
        <v>0.70423756582680397</v>
      </c>
      <c r="E32" s="523">
        <f>'BW2-Field Act. Labor &amp; Mach.'!L32</f>
        <v>11.629276139410191</v>
      </c>
      <c r="F32" s="530"/>
      <c r="G32" s="133"/>
      <c r="H32" s="463"/>
      <c r="I32" s="115"/>
      <c r="J32" s="112"/>
      <c r="K32" s="118"/>
      <c r="L32" s="112"/>
      <c r="M32" s="112"/>
      <c r="N32" s="112"/>
      <c r="O32" s="112"/>
    </row>
    <row r="33" spans="1:19" ht="15" customHeight="1">
      <c r="B33" s="482" t="s">
        <v>308</v>
      </c>
      <c r="C33" s="517"/>
      <c r="D33" s="523"/>
      <c r="E33" s="523"/>
      <c r="F33" s="530">
        <v>8.8000000000000007</v>
      </c>
      <c r="G33" s="133"/>
      <c r="H33" s="463"/>
      <c r="I33" s="115"/>
      <c r="J33" s="112"/>
      <c r="K33" s="118"/>
      <c r="L33" s="112"/>
      <c r="M33" s="112"/>
      <c r="N33" s="112"/>
      <c r="O33" s="112"/>
    </row>
    <row r="34" spans="1:19" ht="15" customHeight="1">
      <c r="A34" s="504"/>
      <c r="B34" s="505" t="s">
        <v>201</v>
      </c>
      <c r="C34" s="512">
        <f>'BW2-Field Act. Labor &amp; Mach.'!$I$28*3</f>
        <v>31.66104</v>
      </c>
      <c r="D34" s="520">
        <f>'BW2-Field Act. Labor &amp; Mach.'!K28*3</f>
        <v>13.069827471322013</v>
      </c>
      <c r="E34" s="520">
        <f>'BW2-Field Act. Labor &amp; Mach.'!L28*3</f>
        <v>34.652202498356345</v>
      </c>
      <c r="F34" s="526"/>
      <c r="G34" s="133"/>
      <c r="H34" s="463"/>
      <c r="I34" s="115"/>
      <c r="J34" s="112"/>
      <c r="K34" s="118"/>
      <c r="L34" s="112"/>
      <c r="M34" s="112"/>
      <c r="N34" s="112"/>
      <c r="O34" s="112"/>
    </row>
    <row r="35" spans="1:19" ht="15" customHeight="1">
      <c r="B35" s="462" t="s">
        <v>139</v>
      </c>
      <c r="C35" s="512">
        <f>'BW2-Field Act. Labor &amp; Mach.'!I34</f>
        <v>98.940749999999994</v>
      </c>
      <c r="D35" s="520"/>
      <c r="E35" s="520"/>
      <c r="F35" s="526"/>
      <c r="G35" s="473"/>
      <c r="H35" s="479"/>
      <c r="I35" s="480"/>
      <c r="J35" s="228"/>
      <c r="K35"/>
      <c r="L35"/>
      <c r="M35"/>
      <c r="N35"/>
      <c r="O35"/>
      <c r="P35"/>
      <c r="Q35"/>
      <c r="R35"/>
      <c r="S35"/>
    </row>
    <row r="36" spans="1:19" ht="15" customHeight="1">
      <c r="B36" s="493" t="s">
        <v>180</v>
      </c>
      <c r="C36" s="513">
        <f>'BW2-Field Act. Labor &amp; Mach.'!$I$29*2</f>
        <v>63.32208</v>
      </c>
      <c r="D36" s="521">
        <f>'BW2-Field Act. Labor &amp; Mach.'!K29*2</f>
        <v>18.849340278005133</v>
      </c>
      <c r="E36" s="521">
        <f>'BW2-Field Act. Labor &amp; Mach.'!L29*2</f>
        <v>51.654848024316109</v>
      </c>
      <c r="F36" s="527"/>
      <c r="G36" s="486"/>
      <c r="H36" s="486"/>
      <c r="I36" s="110"/>
      <c r="J36" s="112"/>
      <c r="K36" s="118"/>
      <c r="L36" s="112"/>
      <c r="M36" s="112"/>
      <c r="N36" s="112"/>
      <c r="O36" s="112"/>
    </row>
    <row r="37" spans="1:19" s="453" customFormat="1" ht="15" customHeight="1">
      <c r="B37" s="824" t="s">
        <v>508</v>
      </c>
      <c r="C37" s="444">
        <f>SUM(C12:C19, C22:C25, C28:C36)</f>
        <v>1254.9115670958556</v>
      </c>
      <c r="D37" s="444">
        <f>SUM(D12:D19, D22:D25,D28:D36)</f>
        <v>146.22823467997557</v>
      </c>
      <c r="E37" s="444">
        <f>SUM(E12:E19, E22:E25,E28:E36)</f>
        <v>381.66471273333798</v>
      </c>
      <c r="F37" s="444">
        <f>SUM(F12:F19, F22:F25,F28:F36)</f>
        <v>738.27990741273345</v>
      </c>
      <c r="G37" s="445" t="s">
        <v>4</v>
      </c>
      <c r="H37" s="446">
        <f>SUM(C37:F37)</f>
        <v>2521.0844219219025</v>
      </c>
      <c r="I37" s="117"/>
      <c r="J37" s="476"/>
      <c r="K37" s="476"/>
      <c r="L37" s="477"/>
      <c r="M37" s="477"/>
      <c r="N37" s="477"/>
      <c r="O37" s="477"/>
      <c r="P37" s="475"/>
    </row>
    <row r="38" spans="1:19" s="120" customFormat="1" ht="15" customHeight="1">
      <c r="B38" s="593"/>
      <c r="C38" s="133"/>
      <c r="D38" s="133"/>
      <c r="E38" s="133"/>
      <c r="F38" s="133"/>
      <c r="G38" s="924"/>
      <c r="H38" s="265"/>
    </row>
    <row r="39" spans="1:19" s="119" customFormat="1" ht="15" customHeight="1">
      <c r="B39" s="116" t="s">
        <v>914</v>
      </c>
      <c r="C39" s="133"/>
      <c r="D39" s="133"/>
      <c r="E39" s="133"/>
      <c r="F39" s="133"/>
      <c r="G39" s="924"/>
      <c r="H39" s="265"/>
      <c r="I39" s="120"/>
    </row>
    <row r="40" spans="1:19" ht="15" customHeight="1">
      <c r="B40" s="921" t="s">
        <v>3</v>
      </c>
      <c r="C40" s="514"/>
      <c r="D40" s="522"/>
      <c r="E40" s="522"/>
      <c r="F40" s="528"/>
      <c r="G40" s="983"/>
      <c r="H40" s="491"/>
      <c r="I40" s="109"/>
      <c r="J40" s="118"/>
      <c r="K40" s="112"/>
      <c r="L40" s="111"/>
      <c r="M40" s="111"/>
      <c r="N40" s="111"/>
      <c r="O40" s="111"/>
      <c r="P40" s="109"/>
    </row>
    <row r="41" spans="1:19" ht="15" customHeight="1">
      <c r="B41" s="132" t="s">
        <v>203</v>
      </c>
      <c r="C41" s="512">
        <f>'BW6-Harvest and Wash-Pack'!D32+'BW2-Field Act. Labor &amp; Mach.'!I54</f>
        <v>2908.8580500000003</v>
      </c>
      <c r="D41" s="520">
        <f>'BW2-Field Act. Labor &amp; Mach.'!K54</f>
        <v>0.13284863512476036</v>
      </c>
      <c r="E41" s="520">
        <f>'BW2-Field Act. Labor &amp; Mach.'!L54</f>
        <v>0.73508522727272718</v>
      </c>
      <c r="F41" s="526"/>
      <c r="G41" s="1029" t="s">
        <v>852</v>
      </c>
      <c r="H41" s="265"/>
      <c r="I41" s="109"/>
      <c r="J41" s="118"/>
      <c r="K41" s="112"/>
      <c r="L41" s="113"/>
      <c r="M41" s="113"/>
      <c r="N41" s="113"/>
      <c r="O41" s="113"/>
      <c r="P41" s="109"/>
    </row>
    <row r="42" spans="1:19" ht="15" customHeight="1">
      <c r="B42" s="151" t="str">
        <f>'BW3-Variable Input'!$B$70</f>
        <v>Twist ties</v>
      </c>
      <c r="C42" s="517"/>
      <c r="D42" s="523"/>
      <c r="E42" s="523"/>
      <c r="F42" s="526">
        <f>'BW3-Variable Input'!$C$70</f>
        <v>87.11995499999999</v>
      </c>
      <c r="G42" s="463"/>
      <c r="H42" s="463"/>
      <c r="I42" s="115"/>
      <c r="J42" s="118"/>
      <c r="K42" s="112"/>
      <c r="L42" s="113"/>
      <c r="M42" s="113"/>
      <c r="N42" s="113"/>
      <c r="O42" s="113"/>
      <c r="P42" s="109"/>
    </row>
    <row r="43" spans="1:19" ht="15" customHeight="1">
      <c r="B43" s="416" t="s">
        <v>349</v>
      </c>
      <c r="C43" s="513">
        <f>'BW6-Harvest and Wash-Pack'!F32</f>
        <v>527.68399999999997</v>
      </c>
      <c r="D43" s="521"/>
      <c r="E43" s="521"/>
      <c r="F43" s="527"/>
      <c r="G43" s="1030" t="s">
        <v>852</v>
      </c>
      <c r="H43" s="492"/>
      <c r="I43" s="109"/>
      <c r="J43" s="118"/>
      <c r="K43" s="112"/>
      <c r="L43" s="113"/>
      <c r="M43" s="113"/>
      <c r="N43" s="113"/>
      <c r="O43" s="113"/>
      <c r="P43" s="109"/>
    </row>
    <row r="44" spans="1:19" s="453" customFormat="1" ht="15" customHeight="1">
      <c r="B44" s="824" t="s">
        <v>508</v>
      </c>
      <c r="C44" s="444">
        <f>SUM(C41:C43)</f>
        <v>3436.54205</v>
      </c>
      <c r="D44" s="444">
        <f>SUM(D41:D43)</f>
        <v>0.13284863512476036</v>
      </c>
      <c r="E44" s="444">
        <f>SUM(E41:E43)</f>
        <v>0.73508522727272718</v>
      </c>
      <c r="F44" s="444">
        <f>SUM(F41:F43)</f>
        <v>87.11995499999999</v>
      </c>
      <c r="G44" s="445" t="s">
        <v>4</v>
      </c>
      <c r="H44" s="446">
        <f>SUM(C44:F44)</f>
        <v>3524.5299388623976</v>
      </c>
      <c r="I44" s="117"/>
      <c r="J44" s="476"/>
      <c r="K44" s="476"/>
      <c r="L44" s="477"/>
      <c r="M44" s="477"/>
      <c r="N44" s="477"/>
      <c r="O44" s="477"/>
      <c r="P44" s="475"/>
    </row>
    <row r="45" spans="1:19" s="120" customFormat="1" ht="15" customHeight="1">
      <c r="B45" s="593"/>
      <c r="C45" s="133"/>
      <c r="D45" s="133"/>
      <c r="E45" s="133"/>
      <c r="F45" s="133"/>
      <c r="G45" s="924"/>
      <c r="H45" s="265"/>
    </row>
    <row r="46" spans="1:19" s="119" customFormat="1" ht="15" customHeight="1">
      <c r="B46" s="116" t="s">
        <v>662</v>
      </c>
      <c r="C46" s="133"/>
      <c r="D46" s="133"/>
      <c r="E46" s="133"/>
      <c r="F46" s="133"/>
      <c r="G46" s="924"/>
      <c r="H46" s="265"/>
    </row>
    <row r="47" spans="1:19" ht="15" customHeight="1">
      <c r="B47" s="921" t="s">
        <v>663</v>
      </c>
      <c r="C47" s="515"/>
      <c r="D47" s="438"/>
      <c r="E47" s="438"/>
      <c r="F47" s="529"/>
      <c r="G47" s="494"/>
      <c r="H47" s="494"/>
      <c r="I47" s="110"/>
      <c r="J47" s="112"/>
      <c r="K47" s="112"/>
      <c r="L47" s="113"/>
      <c r="M47" s="113"/>
      <c r="N47" s="113"/>
      <c r="O47" s="113"/>
      <c r="P47" s="109"/>
    </row>
    <row r="48" spans="1:19" ht="15" customHeight="1">
      <c r="B48" s="462" t="s">
        <v>43</v>
      </c>
      <c r="C48" s="512">
        <f>'BW2-Field Act. Labor &amp; Mach.'!$I$66</f>
        <v>5.27684</v>
      </c>
      <c r="D48" s="520">
        <f>'BW2-Field Act. Labor &amp; Mach.'!K66</f>
        <v>4.7393418269465482</v>
      </c>
      <c r="E48" s="520">
        <f>'BW2-Field Act. Labor &amp; Mach.'!L66</f>
        <v>4.8215303303156709</v>
      </c>
      <c r="F48" s="526"/>
      <c r="G48" s="463"/>
      <c r="H48" s="463"/>
      <c r="I48" s="115"/>
      <c r="J48" s="118"/>
      <c r="K48" s="112"/>
      <c r="L48" s="113"/>
      <c r="M48" s="113"/>
      <c r="N48" s="113"/>
      <c r="O48" s="113"/>
      <c r="P48" s="109"/>
    </row>
    <row r="49" spans="2:16" ht="15" customHeight="1">
      <c r="B49" s="132" t="s">
        <v>150</v>
      </c>
      <c r="C49" s="512">
        <f>'BW2-Field Act. Labor &amp; Mach.'!$I$65</f>
        <v>42.21472</v>
      </c>
      <c r="D49" s="520">
        <f>'BW2-Field Act. Labor &amp; Mach.'!K65</f>
        <v>3.4075700159999998</v>
      </c>
      <c r="E49" s="520">
        <f>'BW2-Field Act. Labor &amp; Mach.'!L65</f>
        <v>2.89283314099518</v>
      </c>
      <c r="F49" s="526"/>
      <c r="G49" s="463"/>
      <c r="H49" s="463"/>
      <c r="I49" s="110"/>
      <c r="J49" s="118"/>
      <c r="K49" s="112"/>
      <c r="L49" s="113"/>
      <c r="M49" s="113"/>
      <c r="N49" s="113"/>
      <c r="O49" s="113"/>
      <c r="P49" s="109"/>
    </row>
    <row r="50" spans="2:16" ht="15" customHeight="1">
      <c r="B50" s="462" t="s">
        <v>44</v>
      </c>
      <c r="C50" s="512">
        <f>'BW2-Field Act. Labor &amp; Mach.'!$I$67</f>
        <v>5.27684</v>
      </c>
      <c r="D50" s="520">
        <f>'BW2-Field Act. Labor &amp; Mach.'!K67</f>
        <v>4.5754035882945541</v>
      </c>
      <c r="E50" s="520">
        <f>'BW2-Field Act. Labor &amp; Mach.'!L67</f>
        <v>8.7882358546602415</v>
      </c>
      <c r="F50" s="526"/>
      <c r="G50" s="463"/>
      <c r="H50" s="463"/>
      <c r="I50" s="110"/>
      <c r="J50" s="112"/>
      <c r="K50" s="112"/>
      <c r="L50" s="113"/>
      <c r="M50" s="113"/>
      <c r="N50" s="113"/>
      <c r="O50" s="113"/>
      <c r="P50" s="109"/>
    </row>
    <row r="51" spans="2:16" ht="15" customHeight="1">
      <c r="B51" s="462" t="s">
        <v>45</v>
      </c>
      <c r="C51" s="512">
        <f>'BW2-Field Act. Labor &amp; Mach.'!$I$69</f>
        <v>14.511310000000002</v>
      </c>
      <c r="D51" s="520">
        <f>'BW2-Field Act. Labor &amp; Mach.'!K69</f>
        <v>5.9046727740142977</v>
      </c>
      <c r="E51" s="520">
        <f>'BW2-Field Act. Labor &amp; Mach.'!L69</f>
        <v>8.041581086300118</v>
      </c>
      <c r="F51" s="526"/>
      <c r="G51" s="463"/>
      <c r="H51" s="463"/>
      <c r="I51" s="110"/>
      <c r="J51" s="112"/>
      <c r="K51" s="112"/>
      <c r="L51" s="113"/>
      <c r="M51" s="113"/>
      <c r="N51" s="113"/>
      <c r="O51" s="113"/>
      <c r="P51" s="109"/>
    </row>
    <row r="52" spans="2:16" ht="15" customHeight="1">
      <c r="B52" s="500" t="str">
        <f>'BW3-Variable Input'!$B$33</f>
        <v>Winter cover crop seed</v>
      </c>
      <c r="C52" s="513"/>
      <c r="D52" s="521"/>
      <c r="E52" s="521"/>
      <c r="F52" s="527">
        <f>'BW3-Variable Input'!$C$33</f>
        <v>31.793452380952385</v>
      </c>
      <c r="G52" s="485"/>
      <c r="H52" s="485"/>
      <c r="I52" s="115"/>
      <c r="J52" s="118"/>
      <c r="K52" s="112"/>
      <c r="L52" s="113"/>
      <c r="M52" s="113"/>
      <c r="N52" s="113"/>
      <c r="O52" s="113"/>
      <c r="P52" s="109"/>
    </row>
    <row r="53" spans="2:16" s="453" customFormat="1" ht="15" customHeight="1">
      <c r="B53" s="824" t="s">
        <v>508</v>
      </c>
      <c r="C53" s="444">
        <f>SUM(C48:C52)</f>
        <v>67.279709999999994</v>
      </c>
      <c r="D53" s="444">
        <f>SUM(D48:D52)</f>
        <v>18.626988205255401</v>
      </c>
      <c r="E53" s="444">
        <f>SUM(E48:E52)</f>
        <v>24.54418041227121</v>
      </c>
      <c r="F53" s="444">
        <f>SUM(F48:F52)</f>
        <v>31.793452380952385</v>
      </c>
      <c r="G53" s="447" t="s">
        <v>4</v>
      </c>
      <c r="H53" s="446">
        <f>SUM(C53:F53)</f>
        <v>142.24433099847897</v>
      </c>
      <c r="I53" s="117"/>
      <c r="J53" s="476"/>
      <c r="K53" s="476"/>
      <c r="L53" s="478"/>
      <c r="M53" s="478"/>
      <c r="N53" s="478"/>
      <c r="O53" s="478"/>
      <c r="P53" s="475"/>
    </row>
    <row r="54" spans="2:16" s="120" customFormat="1" ht="15" customHeight="1">
      <c r="B54" s="593"/>
      <c r="C54" s="133"/>
      <c r="D54" s="133"/>
      <c r="E54" s="133"/>
      <c r="F54" s="133"/>
      <c r="G54" s="463"/>
      <c r="H54" s="463"/>
      <c r="I54" s="115"/>
      <c r="J54" s="825"/>
      <c r="K54" s="127"/>
      <c r="L54" s="113"/>
      <c r="M54" s="113"/>
      <c r="N54" s="113"/>
      <c r="O54" s="113"/>
    </row>
    <row r="55" spans="2:16" s="453" customFormat="1" ht="15" customHeight="1">
      <c r="B55" s="116" t="s">
        <v>515</v>
      </c>
      <c r="C55" s="444">
        <f>C37+C44+C53</f>
        <v>4758.7333270958552</v>
      </c>
      <c r="D55" s="444">
        <f>D37+D44+D53</f>
        <v>164.98807152035573</v>
      </c>
      <c r="E55" s="444">
        <f>E37+E44+E53</f>
        <v>406.94397837288193</v>
      </c>
      <c r="F55" s="444">
        <f>F37+F44+F53</f>
        <v>857.19331479368589</v>
      </c>
      <c r="G55" s="447" t="s">
        <v>4</v>
      </c>
      <c r="H55" s="446">
        <f>SUM(C55:F55)</f>
        <v>6187.8586917827788</v>
      </c>
      <c r="I55" s="117"/>
      <c r="J55" s="476"/>
      <c r="K55" s="476"/>
      <c r="L55" s="478"/>
      <c r="M55" s="478"/>
      <c r="N55" s="478"/>
      <c r="O55" s="478"/>
      <c r="P55" s="475"/>
    </row>
    <row r="56" spans="2:16" ht="15" customHeight="1">
      <c r="B56" s="114"/>
      <c r="C56" s="133"/>
      <c r="D56" s="133"/>
      <c r="E56" s="133"/>
      <c r="F56" s="133"/>
      <c r="G56" s="463"/>
      <c r="H56" s="463"/>
      <c r="I56" s="110"/>
      <c r="J56" s="112"/>
      <c r="K56" s="112"/>
      <c r="L56" s="113"/>
      <c r="M56" s="113"/>
      <c r="N56" s="113"/>
      <c r="O56" s="113"/>
      <c r="P56" s="109"/>
    </row>
    <row r="57" spans="2:16">
      <c r="B57" s="1032"/>
      <c r="C57" s="1033"/>
      <c r="D57" s="1033"/>
      <c r="E57" s="1033"/>
      <c r="F57" s="1033"/>
      <c r="G57" s="1033"/>
      <c r="H57" s="1033"/>
    </row>
    <row r="58" spans="2:16">
      <c r="B58" s="916"/>
      <c r="C58" s="916"/>
      <c r="D58" s="916"/>
      <c r="E58" s="916"/>
      <c r="F58" s="916"/>
      <c r="G58" s="916"/>
      <c r="H58" s="916"/>
    </row>
    <row r="59" spans="2:16">
      <c r="B59" s="116" t="s">
        <v>664</v>
      </c>
      <c r="C59" s="916"/>
      <c r="D59" s="916"/>
      <c r="E59" s="916"/>
      <c r="F59" s="916"/>
      <c r="G59" s="916"/>
      <c r="H59" s="916"/>
    </row>
    <row r="60" spans="2:16">
      <c r="B60" s="985" t="s">
        <v>668</v>
      </c>
      <c r="C60" s="916"/>
      <c r="D60" s="916"/>
      <c r="E60" s="916"/>
      <c r="F60" s="916"/>
      <c r="G60" s="916"/>
      <c r="H60" s="986">
        <f>C37+C53</f>
        <v>1322.1912770958556</v>
      </c>
    </row>
    <row r="61" spans="2:16">
      <c r="B61" s="135" t="s">
        <v>667</v>
      </c>
      <c r="C61" s="916"/>
      <c r="D61" s="916"/>
      <c r="E61" s="916"/>
      <c r="F61" s="916"/>
      <c r="G61" s="916"/>
      <c r="H61" s="986">
        <f>D37+D53</f>
        <v>164.85522288523097</v>
      </c>
    </row>
    <row r="62" spans="2:16" ht="15" customHeight="1">
      <c r="B62" s="985" t="s">
        <v>669</v>
      </c>
      <c r="C62" s="469"/>
      <c r="D62" s="133"/>
      <c r="E62" s="444"/>
      <c r="F62" s="464"/>
      <c r="G62" s="442"/>
      <c r="H62" s="463">
        <f>F37+F53</f>
        <v>770.07335979368588</v>
      </c>
      <c r="I62" s="118"/>
      <c r="J62" s="112"/>
      <c r="K62" s="113"/>
      <c r="L62" s="113"/>
      <c r="M62" s="113"/>
      <c r="N62" s="113"/>
      <c r="O62" s="109"/>
    </row>
    <row r="63" spans="2:16" ht="15" customHeight="1">
      <c r="B63" s="831" t="s">
        <v>666</v>
      </c>
      <c r="C63" s="469"/>
      <c r="D63" s="469"/>
      <c r="E63" s="592"/>
      <c r="F63" s="464"/>
      <c r="G63" s="442"/>
      <c r="H63" s="848">
        <f>SUM(H60:H62)</f>
        <v>2257.1198597747725</v>
      </c>
      <c r="I63" s="112"/>
      <c r="J63" s="112"/>
      <c r="K63" s="113"/>
      <c r="L63" s="113"/>
      <c r="M63" s="113"/>
      <c r="N63" s="113"/>
      <c r="O63" s="109"/>
    </row>
    <row r="64" spans="2:16" ht="15" customHeight="1">
      <c r="B64" s="985" t="s">
        <v>680</v>
      </c>
      <c r="C64" s="469"/>
      <c r="D64" s="469"/>
      <c r="E64" s="469"/>
      <c r="F64" s="132"/>
      <c r="G64" s="442"/>
      <c r="H64" s="463">
        <f>C44</f>
        <v>3436.54205</v>
      </c>
      <c r="I64" s="112"/>
      <c r="J64" s="112"/>
      <c r="K64" s="113"/>
      <c r="L64" s="113"/>
      <c r="M64" s="113"/>
      <c r="N64" s="113"/>
      <c r="O64" s="109"/>
    </row>
    <row r="65" spans="2:15" ht="15" customHeight="1">
      <c r="B65" s="985" t="s">
        <v>445</v>
      </c>
      <c r="C65" s="469"/>
      <c r="D65" s="469"/>
      <c r="E65" s="469"/>
      <c r="F65" s="132"/>
      <c r="G65" s="442"/>
      <c r="H65" s="463">
        <f>D44</f>
        <v>0.13284863512476036</v>
      </c>
      <c r="I65" s="112"/>
      <c r="J65" s="112"/>
      <c r="K65" s="113"/>
      <c r="L65" s="113"/>
      <c r="M65" s="113"/>
      <c r="N65" s="113"/>
      <c r="O65" s="109"/>
    </row>
    <row r="66" spans="2:15" ht="15" customHeight="1">
      <c r="B66" s="985" t="s">
        <v>670</v>
      </c>
      <c r="C66" s="469"/>
      <c r="D66" s="444"/>
      <c r="E66" s="469"/>
      <c r="F66" s="132"/>
      <c r="G66" s="132"/>
      <c r="H66" s="463">
        <f>F44</f>
        <v>87.11995499999999</v>
      </c>
      <c r="I66" s="112"/>
      <c r="J66" s="112"/>
      <c r="K66" s="113"/>
      <c r="L66" s="113"/>
      <c r="M66" s="113"/>
      <c r="N66" s="113"/>
      <c r="O66" s="109"/>
    </row>
    <row r="67" spans="2:15" ht="15" customHeight="1">
      <c r="B67" s="831" t="s">
        <v>671</v>
      </c>
      <c r="C67" s="43"/>
      <c r="D67" s="43"/>
      <c r="E67" s="832"/>
      <c r="F67" s="43"/>
      <c r="G67" s="43"/>
      <c r="H67" s="598">
        <f>SUM(H64:H66)</f>
        <v>3523.794853635125</v>
      </c>
      <c r="I67" s="112"/>
      <c r="J67" s="112"/>
      <c r="K67" s="113"/>
      <c r="L67" s="113"/>
      <c r="M67" s="113"/>
      <c r="N67" s="113"/>
      <c r="O67" s="109"/>
    </row>
    <row r="68" spans="2:15" ht="15" customHeight="1">
      <c r="B68" s="833" t="s">
        <v>513</v>
      </c>
      <c r="C68" s="919"/>
      <c r="D68" s="919"/>
      <c r="E68" s="987"/>
      <c r="F68" s="988"/>
      <c r="G68" s="919"/>
      <c r="H68" s="818">
        <f>H63+H67</f>
        <v>5780.9147134098976</v>
      </c>
      <c r="I68" s="112"/>
      <c r="J68" s="112"/>
      <c r="K68" s="113"/>
      <c r="L68" s="113"/>
      <c r="M68" s="113"/>
      <c r="N68" s="113"/>
      <c r="O68" s="109"/>
    </row>
    <row r="69" spans="2:15" ht="15" customHeight="1">
      <c r="B69" s="985" t="s">
        <v>672</v>
      </c>
      <c r="C69" s="135"/>
      <c r="D69" s="135"/>
      <c r="E69" s="472"/>
      <c r="F69" s="135"/>
      <c r="G69" s="135"/>
      <c r="H69" s="989">
        <f>E37+E53</f>
        <v>406.20889314560918</v>
      </c>
      <c r="I69" s="112"/>
      <c r="J69" s="112"/>
      <c r="K69" s="113"/>
      <c r="L69" s="113"/>
      <c r="M69" s="113"/>
      <c r="N69" s="113"/>
      <c r="O69" s="109"/>
    </row>
    <row r="70" spans="2:15" ht="15" customHeight="1">
      <c r="B70" s="985" t="s">
        <v>673</v>
      </c>
      <c r="C70" s="135"/>
      <c r="D70" s="135"/>
      <c r="E70" s="472"/>
      <c r="F70" s="135"/>
      <c r="G70" s="135"/>
      <c r="H70" s="990">
        <f>E44</f>
        <v>0.73508522727272718</v>
      </c>
      <c r="I70" s="112"/>
      <c r="J70" s="112"/>
      <c r="K70" s="113"/>
      <c r="L70" s="113"/>
      <c r="M70" s="113"/>
      <c r="N70" s="113"/>
      <c r="O70" s="109"/>
    </row>
    <row r="71" spans="2:15" ht="15" customHeight="1">
      <c r="B71" s="837" t="s">
        <v>514</v>
      </c>
      <c r="C71" s="919"/>
      <c r="D71" s="919"/>
      <c r="E71" s="987"/>
      <c r="F71" s="988"/>
      <c r="G71" s="919"/>
      <c r="H71" s="819">
        <f>H69+H70</f>
        <v>406.94397837288193</v>
      </c>
      <c r="I71" s="112"/>
      <c r="J71" s="112"/>
      <c r="K71" s="113"/>
      <c r="L71" s="113"/>
      <c r="M71" s="113"/>
      <c r="N71" s="113"/>
      <c r="O71" s="109"/>
    </row>
    <row r="72" spans="2:15" ht="15" customHeight="1">
      <c r="B72" s="264"/>
      <c r="C72" s="469"/>
      <c r="D72" s="444"/>
      <c r="E72" s="469"/>
      <c r="F72" s="132"/>
      <c r="G72" s="132"/>
      <c r="H72" s="442"/>
      <c r="I72" s="112"/>
      <c r="J72" s="112"/>
      <c r="K72" s="113"/>
      <c r="L72" s="113"/>
      <c r="M72" s="113"/>
      <c r="N72" s="113"/>
      <c r="O72" s="109"/>
    </row>
    <row r="73" spans="2:15">
      <c r="B73" s="132"/>
      <c r="C73" s="469"/>
      <c r="D73" s="469"/>
      <c r="E73" s="469"/>
      <c r="F73" s="132"/>
      <c r="G73" s="442"/>
      <c r="H73" s="442"/>
      <c r="I73" s="112"/>
      <c r="J73" s="112"/>
      <c r="K73" s="111"/>
      <c r="L73" s="111"/>
      <c r="M73" s="111"/>
      <c r="N73" s="111"/>
      <c r="O73" s="109"/>
    </row>
    <row r="74" spans="2:15">
      <c r="B74" s="132"/>
      <c r="C74" s="132"/>
      <c r="D74" s="132"/>
      <c r="E74" s="132"/>
      <c r="F74" s="132"/>
      <c r="G74" s="442"/>
      <c r="H74" s="442"/>
      <c r="I74" s="112"/>
      <c r="J74" s="112"/>
      <c r="K74" s="111"/>
      <c r="L74" s="111"/>
      <c r="M74" s="111"/>
      <c r="N74" s="111"/>
      <c r="O74" s="109"/>
    </row>
    <row r="75" spans="2:15">
      <c r="B75" s="110"/>
      <c r="C75" s="133"/>
      <c r="D75" s="133"/>
      <c r="E75" s="133"/>
      <c r="F75" s="133"/>
      <c r="H75" s="243"/>
      <c r="K75" s="109"/>
      <c r="L75" s="109"/>
      <c r="M75" s="109"/>
      <c r="N75" s="109"/>
      <c r="O75"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79"/>
  <sheetViews>
    <sheetView showGridLines="0" view="pageLayout" topLeftCell="A23" workbookViewId="0">
      <selection activeCell="B42" sqref="B42"/>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Index'!B51</f>
        <v>Squash, Summer</v>
      </c>
      <c r="C2" s="221"/>
      <c r="D2" s="221"/>
      <c r="E2" s="221"/>
      <c r="I2" s="120"/>
      <c r="J2" s="120"/>
      <c r="K2" s="120"/>
      <c r="L2" s="109"/>
      <c r="M2" s="109"/>
      <c r="N2" s="109"/>
    </row>
    <row r="3" spans="2:19" ht="34"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8">
        <f>'BW1-Bed and Row Spacing'!J33</f>
        <v>2074.2857142857142</v>
      </c>
      <c r="F4" s="135"/>
      <c r="G4" s="135"/>
      <c r="H4" s="135"/>
      <c r="I4" s="226"/>
      <c r="J4" s="226"/>
      <c r="K4" s="226"/>
      <c r="L4" s="109"/>
      <c r="M4" s="110"/>
      <c r="N4" s="111"/>
      <c r="O4" s="112"/>
      <c r="P4" s="112"/>
      <c r="Q4" s="112"/>
      <c r="R4" s="112"/>
      <c r="S4" s="112"/>
    </row>
    <row r="5" spans="2:19">
      <c r="B5" s="915"/>
      <c r="C5" s="132" t="s">
        <v>366</v>
      </c>
      <c r="D5" s="916"/>
      <c r="E5" s="1340" t="s">
        <v>837</v>
      </c>
      <c r="F5" s="1340"/>
      <c r="G5" s="1340"/>
      <c r="H5" s="1340"/>
      <c r="M5" s="110"/>
      <c r="N5" s="111"/>
      <c r="O5" s="112"/>
      <c r="P5" s="112"/>
      <c r="Q5" s="112"/>
      <c r="R5" s="112"/>
      <c r="S5" s="112"/>
    </row>
    <row r="6" spans="2:19">
      <c r="B6" s="223"/>
      <c r="C6" s="915"/>
      <c r="D6" s="916"/>
      <c r="E6" s="1340"/>
      <c r="F6" s="1340"/>
      <c r="G6" s="1340"/>
      <c r="H6" s="1340"/>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4" customHeight="1">
      <c r="B11" s="922" t="s">
        <v>181</v>
      </c>
      <c r="C11" s="999"/>
      <c r="D11" s="1000"/>
      <c r="E11" s="1000"/>
      <c r="F11" s="1001"/>
      <c r="G11" s="509"/>
      <c r="H11" s="509"/>
      <c r="I11" s="110"/>
      <c r="J11" s="118"/>
      <c r="K11" s="112"/>
      <c r="L11" s="112"/>
      <c r="M11" s="112"/>
      <c r="N11" s="112"/>
      <c r="O11" s="112"/>
    </row>
    <row r="12" spans="2:19">
      <c r="B12" s="265" t="s">
        <v>145</v>
      </c>
      <c r="C12" s="512">
        <f>'BW2-Field Act. Labor &amp; Mach.'!I9</f>
        <v>9.23447</v>
      </c>
      <c r="D12" s="520">
        <f>'BW2-Field Act. Labor &amp; Mach.'!K9</f>
        <v>7.1626812745625896</v>
      </c>
      <c r="E12" s="520">
        <f>'BW2-Field Act. Labor &amp; Mach.'!L9</f>
        <v>6.5697668891297312</v>
      </c>
      <c r="F12" s="526"/>
      <c r="G12" s="465"/>
      <c r="H12" s="465"/>
      <c r="I12" s="110"/>
      <c r="J12" s="112"/>
      <c r="K12" s="118"/>
      <c r="L12" s="118"/>
      <c r="M12" s="112"/>
      <c r="N12" s="112"/>
      <c r="O12" s="112"/>
    </row>
    <row r="13" spans="2:19">
      <c r="B13" s="132" t="s">
        <v>46</v>
      </c>
      <c r="C13" s="512">
        <f>'BW2-Field Act. Labor &amp; Mach.'!I10</f>
        <v>11.87289</v>
      </c>
      <c r="D13" s="520">
        <f>'BW2-Field Act. Labor &amp; Mach.'!K10</f>
        <v>16.900081383311999</v>
      </c>
      <c r="E13" s="520">
        <f>'BW2-Field Act. Labor &amp; Mach.'!L10</f>
        <v>23.703168100043012</v>
      </c>
      <c r="F13" s="526"/>
      <c r="G13" s="133"/>
      <c r="H13" s="465"/>
      <c r="I13" s="110"/>
      <c r="J13" s="112"/>
      <c r="K13" s="112"/>
      <c r="L13" s="112"/>
      <c r="M13" s="118"/>
      <c r="N13" s="112"/>
      <c r="O13" s="112"/>
    </row>
    <row r="14" spans="2:19">
      <c r="B14" s="151" t="s">
        <v>69</v>
      </c>
      <c r="C14" s="512"/>
      <c r="D14" s="520"/>
      <c r="E14" s="520"/>
      <c r="F14" s="526">
        <f>'BW3-Variable Input'!C9</f>
        <v>116.66666666666667</v>
      </c>
      <c r="G14" s="133"/>
      <c r="H14" s="465"/>
      <c r="I14" s="110"/>
      <c r="J14" s="112"/>
      <c r="K14" s="112"/>
      <c r="L14" s="112"/>
      <c r="M14" s="118"/>
      <c r="N14" s="112"/>
      <c r="O14" s="112"/>
    </row>
    <row r="15" spans="2:19">
      <c r="B15" s="132" t="s">
        <v>11</v>
      </c>
      <c r="C15" s="512">
        <f>'BW2-Field Act. Labor &amp; Mach.'!I13</f>
        <v>22.426569999999998</v>
      </c>
      <c r="D15" s="520">
        <f>'BW2-Field Act. Labor &amp; Mach.'!K13</f>
        <v>17.993866831056</v>
      </c>
      <c r="E15" s="520">
        <f>'BW2-Field Act. Labor &amp; Mach.'!L13</f>
        <v>44.771770188886023</v>
      </c>
      <c r="F15" s="526"/>
      <c r="G15" s="133"/>
      <c r="H15" s="463"/>
      <c r="I15" s="110"/>
      <c r="J15" s="112"/>
      <c r="K15" s="112"/>
      <c r="L15" s="112"/>
      <c r="M15" s="118"/>
      <c r="N15" s="112"/>
      <c r="O15" s="112"/>
    </row>
    <row r="16" spans="2:19">
      <c r="B16" s="132" t="s">
        <v>137</v>
      </c>
      <c r="C16" s="512">
        <f>'BW2-Field Act. Labor &amp; Mach.'!I12</f>
        <v>6.59605</v>
      </c>
      <c r="D16" s="520">
        <f>'BW2-Field Act. Labor &amp; Mach.'!K12</f>
        <v>3.7281613670297151</v>
      </c>
      <c r="E16" s="520">
        <f>'BW2-Field Act. Labor &amp; Mach.'!L12</f>
        <v>3.4161206017736747</v>
      </c>
      <c r="F16" s="526"/>
      <c r="G16" s="133"/>
      <c r="H16" s="465"/>
      <c r="I16" s="110"/>
      <c r="J16" s="112"/>
      <c r="K16" s="112"/>
      <c r="L16" s="112"/>
      <c r="M16" s="118"/>
      <c r="N16" s="112"/>
      <c r="O16" s="112"/>
    </row>
    <row r="17" spans="2:15">
      <c r="B17" s="132" t="s">
        <v>12</v>
      </c>
      <c r="C17" s="512">
        <f>'BW2-Field Act. Labor &amp; Mach.'!I14</f>
        <v>10.55368</v>
      </c>
      <c r="D17" s="520">
        <f>'BW2-Field Act. Labor &amp; Mach.'!K14</f>
        <v>9.2140341759999984</v>
      </c>
      <c r="E17" s="520">
        <f>'BW2-Field Act. Labor &amp; Mach.'!L14</f>
        <v>29.935417361494395</v>
      </c>
      <c r="F17" s="526"/>
      <c r="G17" s="133"/>
      <c r="H17" s="463"/>
      <c r="I17" s="110"/>
      <c r="J17" s="112"/>
      <c r="K17" s="112"/>
      <c r="L17" s="112"/>
      <c r="M17" s="112"/>
      <c r="N17" s="112"/>
      <c r="O17" s="112"/>
    </row>
    <row r="18" spans="2:15">
      <c r="B18" s="132" t="s">
        <v>13</v>
      </c>
      <c r="C18" s="512">
        <f>'BW2-Field Act. Labor &amp; Mach.'!I17</f>
        <v>72.556550000000001</v>
      </c>
      <c r="D18" s="520">
        <f>'BW2-Field Act. Labor &amp; Mach.'!K17</f>
        <v>18.413226025968029</v>
      </c>
      <c r="E18" s="520">
        <f>'BW2-Field Act. Labor &amp; Mach.'!L17</f>
        <v>38.951406687324337</v>
      </c>
      <c r="F18" s="526"/>
      <c r="G18" s="133"/>
      <c r="H18" s="463"/>
      <c r="I18" s="110"/>
      <c r="J18" s="112"/>
      <c r="K18" s="112"/>
      <c r="L18" s="112"/>
      <c r="M18" s="112"/>
      <c r="N18" s="112"/>
      <c r="O18" s="112"/>
    </row>
    <row r="19" spans="2:15">
      <c r="B19" s="151" t="str">
        <f>'BW3-Variable Input'!$B$19</f>
        <v>Plastic mulch for 84" bed spacing</v>
      </c>
      <c r="C19" s="512"/>
      <c r="D19" s="520"/>
      <c r="E19" s="520"/>
      <c r="F19" s="526">
        <f>'BW3-Variable Input'!C19</f>
        <v>77.785714285714278</v>
      </c>
      <c r="G19" s="133"/>
      <c r="H19" s="463"/>
      <c r="I19" s="110"/>
      <c r="J19" s="118"/>
      <c r="K19" s="118"/>
      <c r="L19" s="118"/>
      <c r="M19" s="112"/>
      <c r="N19" s="112"/>
      <c r="O19" s="112"/>
    </row>
    <row r="20" spans="2:15">
      <c r="B20" s="151" t="s">
        <v>313</v>
      </c>
      <c r="C20" s="512"/>
      <c r="D20" s="520"/>
      <c r="E20" s="520"/>
      <c r="F20" s="526">
        <f>'BW3-Variable Input'!C21</f>
        <v>33.880000000000003</v>
      </c>
      <c r="G20" s="133"/>
      <c r="H20" s="463"/>
      <c r="I20" s="110"/>
      <c r="J20" s="112"/>
      <c r="K20" s="112"/>
      <c r="L20" s="112"/>
      <c r="M20" s="112"/>
      <c r="N20" s="112"/>
      <c r="O20" s="112"/>
    </row>
    <row r="21" spans="2:15">
      <c r="B21" s="418" t="s">
        <v>315</v>
      </c>
      <c r="C21" s="513"/>
      <c r="D21" s="521"/>
      <c r="E21" s="521"/>
      <c r="F21" s="527">
        <f>'BW3-Variable Input'!C11</f>
        <v>186</v>
      </c>
      <c r="G21" s="486"/>
      <c r="H21" s="485"/>
      <c r="I21" s="110"/>
      <c r="J21" s="112"/>
      <c r="K21" s="112"/>
      <c r="L21" s="112"/>
      <c r="M21" s="112"/>
      <c r="N21" s="112"/>
      <c r="O21" s="112"/>
    </row>
    <row r="22" spans="2:15">
      <c r="B22" s="132"/>
      <c r="C22" s="133"/>
      <c r="D22" s="133"/>
      <c r="E22" s="133"/>
      <c r="F22" s="133"/>
      <c r="G22" s="133"/>
      <c r="H22" s="466"/>
      <c r="I22" s="110"/>
      <c r="J22" s="112"/>
      <c r="K22" s="112"/>
      <c r="L22" s="112"/>
      <c r="M22" s="112"/>
      <c r="N22" s="112"/>
      <c r="O22" s="112"/>
    </row>
    <row r="23" spans="2:15">
      <c r="B23" s="921" t="s">
        <v>10</v>
      </c>
      <c r="C23" s="515"/>
      <c r="D23" s="438"/>
      <c r="E23" s="438"/>
      <c r="F23" s="529"/>
      <c r="G23" s="422"/>
      <c r="H23" s="494"/>
      <c r="I23" s="110"/>
      <c r="J23" s="112"/>
      <c r="K23" s="112"/>
      <c r="L23" s="112"/>
      <c r="M23" s="112"/>
      <c r="N23" s="112"/>
      <c r="O23" s="112"/>
    </row>
    <row r="24" spans="2:15">
      <c r="B24" s="132" t="str">
        <f>'BW2-Field Act. Labor &amp; Mach.'!B22</f>
        <v>Transplant on plastic mulch</v>
      </c>
      <c r="C24" s="512">
        <f>'BW2-Field Act. Labor &amp; Mach.'!I22</f>
        <v>131.92099999999999</v>
      </c>
      <c r="D24" s="520">
        <f>'BW2-Field Act. Labor &amp; Mach.'!K22</f>
        <v>36.302136438428491</v>
      </c>
      <c r="E24" s="520">
        <f>'BW2-Field Act. Labor &amp; Mach.'!L22</f>
        <v>41.509045695666089</v>
      </c>
      <c r="F24" s="526"/>
      <c r="G24" s="133"/>
      <c r="H24" s="463"/>
      <c r="I24" s="110"/>
      <c r="J24" s="118"/>
      <c r="K24" s="112"/>
      <c r="L24" s="112"/>
      <c r="M24" s="112"/>
      <c r="N24" s="112"/>
      <c r="O24" s="112"/>
    </row>
    <row r="25" spans="2:15">
      <c r="B25" s="151" t="s">
        <v>685</v>
      </c>
      <c r="C25" s="512"/>
      <c r="D25" s="520"/>
      <c r="E25" s="520"/>
      <c r="F25" s="526">
        <f>'BW4-Transplant Production'!F22</f>
        <v>107.09682342857145</v>
      </c>
      <c r="G25" s="1029" t="s">
        <v>720</v>
      </c>
      <c r="H25" s="465"/>
      <c r="I25" s="110"/>
      <c r="J25" s="118"/>
      <c r="K25" s="112"/>
      <c r="L25" s="112"/>
      <c r="M25" s="112"/>
      <c r="N25" s="112"/>
      <c r="O25" s="112"/>
    </row>
    <row r="26" spans="2:15">
      <c r="B26" s="418" t="s">
        <v>459</v>
      </c>
      <c r="C26" s="513">
        <f>'BW4-Transplant Production'!D22</f>
        <v>206.60414337870378</v>
      </c>
      <c r="D26" s="521"/>
      <c r="E26" s="521"/>
      <c r="F26" s="527">
        <f>'BW4-Transplant Production'!J49</f>
        <v>131.62611990789753</v>
      </c>
      <c r="G26" s="1030" t="s">
        <v>720</v>
      </c>
      <c r="H26" s="1031"/>
      <c r="I26" s="110"/>
      <c r="J26" s="118"/>
      <c r="K26" s="112"/>
      <c r="L26" s="112"/>
      <c r="M26" s="112"/>
      <c r="N26" s="112"/>
      <c r="O26" s="112"/>
    </row>
    <row r="27" spans="2:15">
      <c r="B27" s="132"/>
      <c r="C27" s="133"/>
      <c r="D27" s="133"/>
      <c r="E27" s="133"/>
      <c r="F27" s="133"/>
      <c r="G27" s="133"/>
      <c r="H27" s="466"/>
      <c r="I27" s="110"/>
      <c r="J27" s="112"/>
      <c r="K27" s="112"/>
      <c r="L27" s="112"/>
      <c r="M27" s="112"/>
      <c r="N27" s="112"/>
      <c r="O27" s="112"/>
    </row>
    <row r="28" spans="2:15">
      <c r="B28" s="921" t="s">
        <v>37</v>
      </c>
      <c r="C28" s="515"/>
      <c r="D28" s="438"/>
      <c r="E28" s="438"/>
      <c r="F28" s="529"/>
      <c r="G28" s="422"/>
      <c r="H28" s="494"/>
      <c r="I28" s="110"/>
      <c r="J28" s="112"/>
      <c r="K28" s="112"/>
      <c r="L28" s="112"/>
      <c r="M28" s="112"/>
      <c r="N28" s="112"/>
      <c r="O28" s="112"/>
    </row>
    <row r="29" spans="2:15">
      <c r="B29" s="462" t="s">
        <v>179</v>
      </c>
      <c r="C29" s="512">
        <f>'BW2-Field Act. Labor &amp; Mach.'!$I$31*2</f>
        <v>10.55368</v>
      </c>
      <c r="D29" s="520">
        <f>'BW2-Field Act. Labor &amp; Mach.'!K31*2</f>
        <v>1.6570295666513035</v>
      </c>
      <c r="E29" s="520">
        <f>'BW2-Field Act. Labor &amp; Mach.'!L31*2</f>
        <v>27.363002680965153</v>
      </c>
      <c r="F29" s="526"/>
      <c r="G29" s="133"/>
      <c r="H29" s="133"/>
      <c r="I29" s="110"/>
      <c r="J29" s="112"/>
      <c r="K29" s="118"/>
      <c r="L29" s="112"/>
      <c r="M29" s="112"/>
      <c r="N29" s="112"/>
      <c r="O29" s="112"/>
    </row>
    <row r="30" spans="2:15">
      <c r="B30" s="151" t="str">
        <f>'BW5-Irrigation'!$B$8</f>
        <v>Irrigation supply cost</v>
      </c>
      <c r="C30" s="512"/>
      <c r="D30" s="520"/>
      <c r="E30" s="520"/>
      <c r="F30" s="526">
        <f>'BW5-Irrigation'!$E$8</f>
        <v>32.773534158149545</v>
      </c>
      <c r="G30" s="1029" t="s">
        <v>851</v>
      </c>
      <c r="H30" s="133"/>
      <c r="I30" s="110"/>
      <c r="J30" s="112"/>
      <c r="K30" s="118"/>
      <c r="L30" s="112"/>
      <c r="M30" s="112"/>
      <c r="N30" s="112"/>
      <c r="O30" s="112"/>
    </row>
    <row r="31" spans="2:15">
      <c r="B31" s="132" t="str">
        <f>'BW5-Irrigation'!$B$9</f>
        <v>Irrigation set-up labor cost</v>
      </c>
      <c r="C31" s="512">
        <f>'BW5-Irrigation'!$E$9</f>
        <v>50.735370890410955</v>
      </c>
      <c r="D31" s="520"/>
      <c r="E31" s="520"/>
      <c r="F31" s="526"/>
      <c r="G31" s="1029" t="s">
        <v>851</v>
      </c>
      <c r="H31" s="133"/>
      <c r="I31" s="110"/>
      <c r="J31" s="112"/>
      <c r="K31" s="118"/>
      <c r="L31" s="112"/>
      <c r="M31" s="112"/>
      <c r="N31" s="112"/>
      <c r="O31" s="112"/>
    </row>
    <row r="32" spans="2:15">
      <c r="B32" s="132" t="s">
        <v>335</v>
      </c>
      <c r="C32" s="512">
        <f>'BW2-Field Act. Labor &amp; Mach.'!I39*'BW5-Irrigation'!C38</f>
        <v>105.5368</v>
      </c>
      <c r="D32" s="520"/>
      <c r="E32" s="520"/>
      <c r="F32" s="526"/>
      <c r="G32" s="133"/>
      <c r="H32" s="133"/>
      <c r="I32" s="110"/>
      <c r="J32" s="112"/>
      <c r="K32" s="118"/>
      <c r="L32" s="112"/>
      <c r="M32" s="112"/>
      <c r="N32" s="112"/>
      <c r="O32" s="112"/>
    </row>
    <row r="33" spans="2:19">
      <c r="B33" s="132" t="s">
        <v>346</v>
      </c>
      <c r="C33" s="512">
        <f>'BW2-Field Act. Labor &amp; Mach.'!$I$30*2</f>
        <v>15.83052</v>
      </c>
      <c r="D33" s="520">
        <f>'BW2-Field Act. Labor &amp; Mach.'!K30*2</f>
        <v>3.8005199999999992</v>
      </c>
      <c r="E33" s="520">
        <f>'BW2-Field Act. Labor &amp; Mach.'!L30*2</f>
        <v>13.353658536585364</v>
      </c>
      <c r="F33" s="526"/>
      <c r="G33" s="133"/>
      <c r="H33" s="463"/>
      <c r="I33" s="115"/>
      <c r="J33" s="112"/>
      <c r="K33" s="118"/>
      <c r="L33" s="112"/>
      <c r="M33" s="112"/>
      <c r="N33" s="112"/>
      <c r="O33" s="112"/>
    </row>
    <row r="34" spans="2:19">
      <c r="B34" s="473" t="s">
        <v>136</v>
      </c>
      <c r="C34" s="517">
        <v>197.88</v>
      </c>
      <c r="D34" s="523">
        <f>'BW2-Field Act. Labor &amp; Mach.'!K45</f>
        <v>5.6792833599999994</v>
      </c>
      <c r="E34" s="523">
        <f>'BW2-Field Act. Labor &amp; Mach.'!L45</f>
        <v>4.8213885683253004</v>
      </c>
      <c r="F34" s="530"/>
      <c r="G34" s="133"/>
      <c r="H34" s="463"/>
      <c r="I34" s="115"/>
      <c r="J34" s="112"/>
      <c r="K34" s="118"/>
      <c r="L34" s="112"/>
      <c r="M34" s="112"/>
      <c r="N34" s="112"/>
      <c r="O34" s="112"/>
    </row>
    <row r="35" spans="2:19">
      <c r="B35" s="510" t="s">
        <v>341</v>
      </c>
      <c r="C35" s="517"/>
      <c r="D35" s="523"/>
      <c r="E35" s="523"/>
      <c r="F35" s="526">
        <f>'BW3-Variable Input'!$C$27</f>
        <v>654.99851816666671</v>
      </c>
      <c r="G35" s="133"/>
      <c r="H35" s="463"/>
      <c r="I35" s="115"/>
      <c r="J35" s="112"/>
      <c r="K35" s="118"/>
      <c r="L35" s="112"/>
      <c r="M35" s="112"/>
      <c r="N35" s="112"/>
      <c r="O35" s="112"/>
    </row>
    <row r="36" spans="2:19">
      <c r="B36" s="473" t="s">
        <v>188</v>
      </c>
      <c r="C36" s="517">
        <v>79.150000000000006</v>
      </c>
      <c r="D36" s="523">
        <f>'BW2-Field Act. Labor &amp; Mach.'!K46</f>
        <v>5.6792833599999994</v>
      </c>
      <c r="E36" s="523">
        <f>'BW2-Field Act. Labor &amp; Mach.'!L46</f>
        <v>4.8213885683253004</v>
      </c>
      <c r="F36" s="530"/>
      <c r="G36" s="133"/>
      <c r="H36" s="463"/>
      <c r="I36" s="110"/>
      <c r="J36" s="112"/>
      <c r="K36" s="118"/>
      <c r="L36" s="112"/>
      <c r="M36" s="112"/>
      <c r="N36" s="112"/>
      <c r="O36" s="112"/>
    </row>
    <row r="37" spans="2:19">
      <c r="B37" s="265" t="str">
        <f>'BW2-Field Act. Labor &amp; Mach.'!$B$35</f>
        <v>Handweed plastic mulch holes</v>
      </c>
      <c r="C37" s="512">
        <f>'BW2-Field Act. Labor &amp; Mach.'!$I$35</f>
        <v>65.960499999999996</v>
      </c>
      <c r="D37" s="520"/>
      <c r="E37" s="520"/>
      <c r="F37" s="526"/>
      <c r="G37" s="133"/>
      <c r="H37" s="463"/>
      <c r="I37" s="110"/>
      <c r="J37" s="112"/>
      <c r="K37" s="118"/>
      <c r="L37" s="112"/>
      <c r="M37" s="112"/>
      <c r="N37" s="112"/>
      <c r="O37" s="112"/>
    </row>
    <row r="38" spans="2:19">
      <c r="B38" s="132" t="s">
        <v>327</v>
      </c>
      <c r="C38" s="512">
        <f>'BW2-Field Act. Labor &amp; Mach.'!I37*4</f>
        <v>52.7684</v>
      </c>
      <c r="D38" s="520">
        <f>'BW2-Field Act. Labor &amp; Mach.'!K37*4</f>
        <v>40.728886581040129</v>
      </c>
      <c r="E38" s="520">
        <f>'BW2-Field Act. Labor &amp; Mach.'!L37*4</f>
        <v>52.41973239570433</v>
      </c>
      <c r="F38" s="526"/>
      <c r="G38" s="133"/>
      <c r="H38" s="463"/>
      <c r="I38" s="110"/>
      <c r="J38" s="112"/>
      <c r="K38" s="118"/>
      <c r="L38" s="112"/>
      <c r="M38" s="112"/>
      <c r="N38" s="112"/>
      <c r="O38" s="112"/>
    </row>
    <row r="39" spans="2:19">
      <c r="B39" s="419" t="s">
        <v>501</v>
      </c>
      <c r="C39" s="513"/>
      <c r="D39" s="521"/>
      <c r="E39" s="521"/>
      <c r="F39" s="527">
        <f>'BW3-Variable Input'!C62</f>
        <v>217.77238542705967</v>
      </c>
      <c r="G39" s="489"/>
      <c r="H39" s="541"/>
      <c r="I39" s="480"/>
      <c r="J39" s="228"/>
      <c r="K39"/>
      <c r="L39"/>
      <c r="M39"/>
      <c r="N39"/>
      <c r="O39"/>
      <c r="P39"/>
      <c r="Q39"/>
      <c r="R39"/>
      <c r="S39"/>
    </row>
    <row r="40" spans="2:19" s="453" customFormat="1">
      <c r="B40" s="824" t="s">
        <v>508</v>
      </c>
      <c r="C40" s="444">
        <f>SUM(C12:C21, C24:C26, C29:C39)</f>
        <v>1050.1806242691146</v>
      </c>
      <c r="D40" s="444">
        <f>SUM(D12:D21, D24:D26,D29:D39)</f>
        <v>167.25919036404827</v>
      </c>
      <c r="E40" s="444">
        <f>SUM(E12:E21, E24:E26,E29:E39)</f>
        <v>291.63586627422274</v>
      </c>
      <c r="F40" s="444">
        <f>SUM(F12:F21, F24:F26,F29:F39)</f>
        <v>1558.5997620407259</v>
      </c>
      <c r="G40" s="445" t="s">
        <v>4</v>
      </c>
      <c r="H40" s="446">
        <f>SUM(C40:F40)</f>
        <v>3067.6754429481116</v>
      </c>
      <c r="I40" s="117"/>
      <c r="J40" s="476"/>
      <c r="K40" s="476"/>
      <c r="L40" s="477"/>
      <c r="M40" s="477"/>
      <c r="N40" s="477"/>
      <c r="O40" s="477"/>
      <c r="P40" s="475"/>
    </row>
    <row r="41" spans="2:19" s="120" customFormat="1" ht="15" customHeight="1">
      <c r="B41" s="593"/>
      <c r="C41" s="133"/>
      <c r="D41" s="133"/>
      <c r="E41" s="133"/>
      <c r="F41" s="133"/>
      <c r="G41" s="924"/>
      <c r="H41" s="265"/>
    </row>
    <row r="42" spans="2:19" s="119" customFormat="1" ht="15" customHeight="1">
      <c r="B42" s="116" t="s">
        <v>914</v>
      </c>
      <c r="C42" s="133"/>
      <c r="D42" s="133"/>
      <c r="E42" s="133"/>
      <c r="F42" s="133"/>
      <c r="G42" s="924"/>
      <c r="H42" s="265"/>
      <c r="I42" s="120"/>
    </row>
    <row r="43" spans="2:19">
      <c r="B43" s="921" t="s">
        <v>3</v>
      </c>
      <c r="C43" s="514"/>
      <c r="D43" s="522"/>
      <c r="E43" s="522"/>
      <c r="F43" s="528"/>
      <c r="G43" s="983"/>
      <c r="H43" s="491"/>
      <c r="I43" s="109"/>
      <c r="J43" s="118"/>
      <c r="K43" s="112"/>
      <c r="L43" s="111"/>
      <c r="M43" s="111"/>
      <c r="N43" s="111"/>
      <c r="O43" s="111"/>
      <c r="P43" s="109"/>
    </row>
    <row r="44" spans="2:19">
      <c r="B44" s="132" t="s">
        <v>296</v>
      </c>
      <c r="C44" s="512">
        <f>'BW6-Harvest and Wash-Pack'!D33*'BW6-Harvest and Wash-Pack'!G33+('BW2-Field Act. Labor &amp; Mach.'!I54*'BW6-Harvest and Wash-Pack'!G33)</f>
        <v>2295.4254000000001</v>
      </c>
      <c r="D44" s="520">
        <f>'BW2-Field Act. Labor &amp; Mach.'!K54*'BW6-Harvest and Wash-Pack'!G33</f>
        <v>1.5941836214971243</v>
      </c>
      <c r="E44" s="520">
        <f>'BW2-Field Act. Labor &amp; Mach.'!L54*'BW6-Harvest and Wash-Pack'!G33</f>
        <v>8.8210227272727266</v>
      </c>
      <c r="F44" s="526"/>
      <c r="G44" s="1029" t="s">
        <v>852</v>
      </c>
      <c r="H44" s="265"/>
      <c r="I44" s="109"/>
      <c r="J44" s="118"/>
      <c r="K44" s="112"/>
      <c r="L44" s="113"/>
      <c r="M44" s="113"/>
      <c r="N44" s="113"/>
      <c r="O44" s="113"/>
      <c r="P44" s="109"/>
    </row>
    <row r="45" spans="2:19">
      <c r="B45" s="416" t="s">
        <v>359</v>
      </c>
      <c r="C45" s="513">
        <f>'BW6-Harvest and Wash-Pack'!F33*'BW6-Harvest and Wash-Pack'!G33</f>
        <v>712.37339999999995</v>
      </c>
      <c r="D45" s="521"/>
      <c r="E45" s="521"/>
      <c r="F45" s="527"/>
      <c r="G45" s="1030" t="s">
        <v>852</v>
      </c>
      <c r="H45" s="492"/>
      <c r="I45" s="109"/>
      <c r="J45" s="118"/>
      <c r="K45" s="112"/>
      <c r="L45" s="113"/>
      <c r="M45" s="113"/>
      <c r="N45" s="113"/>
      <c r="O45" s="113"/>
      <c r="P45" s="109"/>
    </row>
    <row r="46" spans="2:19" s="453" customFormat="1">
      <c r="B46" s="824" t="s">
        <v>508</v>
      </c>
      <c r="C46" s="444">
        <f>SUM(C44:C45)</f>
        <v>3007.7988</v>
      </c>
      <c r="D46" s="444">
        <f>SUM(D44:D45)</f>
        <v>1.5941836214971243</v>
      </c>
      <c r="E46" s="444">
        <f>SUM(E44:E45)</f>
        <v>8.8210227272727266</v>
      </c>
      <c r="F46" s="444">
        <f>SUM(F44:F45)</f>
        <v>0</v>
      </c>
      <c r="G46" s="445" t="s">
        <v>4</v>
      </c>
      <c r="H46" s="446">
        <f>SUM(C46:F46)</f>
        <v>3018.2140063487695</v>
      </c>
      <c r="I46" s="117"/>
      <c r="J46" s="476"/>
      <c r="K46" s="476"/>
      <c r="L46" s="477"/>
      <c r="M46" s="477"/>
      <c r="N46" s="477"/>
      <c r="O46" s="477"/>
      <c r="P46" s="475"/>
    </row>
    <row r="47" spans="2:19" s="120" customFormat="1" ht="15" customHeight="1">
      <c r="B47" s="593"/>
      <c r="C47" s="133"/>
      <c r="D47" s="133"/>
      <c r="E47" s="133"/>
      <c r="F47" s="133"/>
      <c r="G47" s="924"/>
      <c r="H47" s="265"/>
    </row>
    <row r="48" spans="2:19" s="119" customFormat="1" ht="15" customHeight="1">
      <c r="B48" s="116" t="s">
        <v>662</v>
      </c>
      <c r="C48" s="133"/>
      <c r="D48" s="133"/>
      <c r="E48" s="133"/>
      <c r="F48" s="133"/>
      <c r="G48" s="924"/>
      <c r="H48" s="265"/>
    </row>
    <row r="49" spans="2:16">
      <c r="B49" s="921" t="s">
        <v>663</v>
      </c>
      <c r="C49" s="515"/>
      <c r="D49" s="438"/>
      <c r="E49" s="438"/>
      <c r="F49" s="529"/>
      <c r="G49" s="494"/>
      <c r="H49" s="494"/>
      <c r="I49" s="110"/>
      <c r="J49" s="112"/>
      <c r="K49" s="112"/>
      <c r="L49" s="113"/>
      <c r="M49" s="113"/>
      <c r="N49" s="113"/>
      <c r="O49" s="113"/>
      <c r="P49" s="109"/>
    </row>
    <row r="50" spans="2:16">
      <c r="B50" s="132" t="s">
        <v>42</v>
      </c>
      <c r="C50" s="512">
        <f>'BW2-Field Act. Labor &amp; Mach.'!$I$62</f>
        <v>10.55368</v>
      </c>
      <c r="D50" s="520">
        <f>'BW2-Field Act. Labor &amp; Mach.'!K62</f>
        <v>8.1859214566429603</v>
      </c>
      <c r="E50" s="520">
        <f>'BW2-Field Act. Labor &amp; Mach.'!L62</f>
        <v>7.508305016148265</v>
      </c>
      <c r="F50" s="526"/>
      <c r="G50" s="463"/>
      <c r="H50" s="463"/>
      <c r="I50" s="110"/>
      <c r="J50" s="112"/>
      <c r="K50" s="112"/>
      <c r="L50" s="113"/>
      <c r="M50" s="113"/>
      <c r="N50" s="113"/>
      <c r="O50" s="113"/>
      <c r="P50" s="109"/>
    </row>
    <row r="51" spans="2:16">
      <c r="B51" s="132" t="s">
        <v>149</v>
      </c>
      <c r="C51" s="512">
        <f>'BW2-Field Act. Labor &amp; Mach.'!$I$63</f>
        <v>7.91526</v>
      </c>
      <c r="D51" s="520">
        <f>'BW2-Field Act. Labor &amp; Mach.'!K63</f>
        <v>6.9413678434651436</v>
      </c>
      <c r="E51" s="520">
        <f>'BW2-Field Act. Labor &amp; Mach.'!L63</f>
        <v>14.062451996276074</v>
      </c>
      <c r="F51" s="526"/>
      <c r="G51" s="463"/>
      <c r="H51" s="463"/>
      <c r="I51" s="115"/>
      <c r="J51" s="118"/>
      <c r="K51" s="112"/>
      <c r="L51" s="113"/>
      <c r="M51" s="113"/>
      <c r="N51" s="113"/>
      <c r="O51" s="113"/>
      <c r="P51" s="109"/>
    </row>
    <row r="52" spans="2:16">
      <c r="B52" s="132" t="s">
        <v>158</v>
      </c>
      <c r="C52" s="512">
        <f>'BW2-Field Act. Labor &amp; Mach.'!$I$64</f>
        <v>26.3842</v>
      </c>
      <c r="D52" s="520">
        <f>'BW2-Field Act. Labor &amp; Mach.'!K64</f>
        <v>4.5434266879999994</v>
      </c>
      <c r="E52" s="520">
        <f>'BW2-Field Act. Labor &amp; Mach.'!L64</f>
        <v>3.8571108546602404</v>
      </c>
      <c r="F52" s="526"/>
      <c r="G52" s="463"/>
      <c r="H52" s="463"/>
      <c r="I52" s="110"/>
      <c r="J52" s="118"/>
      <c r="K52" s="112"/>
      <c r="L52" s="113"/>
      <c r="M52" s="113"/>
      <c r="N52" s="113"/>
      <c r="O52" s="113"/>
      <c r="P52" s="109"/>
    </row>
    <row r="53" spans="2:16">
      <c r="B53" s="132" t="s">
        <v>43</v>
      </c>
      <c r="C53" s="512">
        <f>'BW2-Field Act. Labor &amp; Mach.'!$I$66</f>
        <v>5.27684</v>
      </c>
      <c r="D53" s="520">
        <f>'BW2-Field Act. Labor &amp; Mach.'!K66</f>
        <v>4.7393418269465482</v>
      </c>
      <c r="E53" s="520">
        <f>'BW2-Field Act. Labor &amp; Mach.'!L66</f>
        <v>4.8215303303156709</v>
      </c>
      <c r="F53" s="526"/>
      <c r="G53" s="463"/>
      <c r="H53" s="463"/>
      <c r="I53" s="110"/>
      <c r="J53" s="112"/>
      <c r="K53" s="112"/>
      <c r="L53" s="113"/>
      <c r="M53" s="113"/>
      <c r="N53" s="113"/>
      <c r="O53" s="113"/>
      <c r="P53" s="109"/>
    </row>
    <row r="54" spans="2:16">
      <c r="B54" s="132" t="s">
        <v>44</v>
      </c>
      <c r="C54" s="512">
        <f>'BW2-Field Act. Labor &amp; Mach.'!$I$67</f>
        <v>5.27684</v>
      </c>
      <c r="D54" s="520">
        <f>'BW2-Field Act. Labor &amp; Mach.'!K67</f>
        <v>4.5754035882945541</v>
      </c>
      <c r="E54" s="520">
        <f>'BW2-Field Act. Labor &amp; Mach.'!L67</f>
        <v>8.7882358546602415</v>
      </c>
      <c r="F54" s="526"/>
      <c r="G54" s="463"/>
      <c r="H54" s="463"/>
      <c r="I54" s="110"/>
      <c r="J54" s="112"/>
      <c r="K54" s="112"/>
      <c r="L54" s="113"/>
      <c r="M54" s="113"/>
      <c r="N54" s="113"/>
      <c r="O54" s="113"/>
      <c r="P54" s="109"/>
    </row>
    <row r="55" spans="2:16">
      <c r="B55" s="132" t="s">
        <v>45</v>
      </c>
      <c r="C55" s="512">
        <f>'BW2-Field Act. Labor &amp; Mach.'!$I$69</f>
        <v>14.511310000000002</v>
      </c>
      <c r="D55" s="520">
        <f>'BW2-Field Act. Labor &amp; Mach.'!K69</f>
        <v>5.9046727740142977</v>
      </c>
      <c r="E55" s="520">
        <f>'BW2-Field Act. Labor &amp; Mach.'!L69</f>
        <v>8.041581086300118</v>
      </c>
      <c r="F55" s="526"/>
      <c r="G55" s="463"/>
      <c r="H55" s="463"/>
      <c r="I55" s="110"/>
      <c r="J55" s="112"/>
      <c r="K55" s="112"/>
      <c r="L55" s="113"/>
      <c r="M55" s="113"/>
      <c r="N55" s="113"/>
      <c r="O55" s="113"/>
      <c r="P55" s="109"/>
    </row>
    <row r="56" spans="2:16">
      <c r="B56" s="500" t="str">
        <f>'BW3-Variable Input'!$B$33</f>
        <v>Winter cover crop seed</v>
      </c>
      <c r="C56" s="513"/>
      <c r="D56" s="521"/>
      <c r="E56" s="521"/>
      <c r="F56" s="527">
        <f>'BW3-Variable Input'!$C$33</f>
        <v>31.793452380952385</v>
      </c>
      <c r="G56" s="485"/>
      <c r="H56" s="485"/>
      <c r="I56" s="110"/>
      <c r="J56" s="112"/>
      <c r="K56" s="112"/>
      <c r="L56" s="113"/>
      <c r="M56" s="113"/>
      <c r="N56" s="113"/>
      <c r="O56" s="113"/>
      <c r="P56" s="109"/>
    </row>
    <row r="57" spans="2:16" s="453" customFormat="1">
      <c r="B57" s="824" t="s">
        <v>508</v>
      </c>
      <c r="C57" s="444">
        <f>SUM(C50:C56)</f>
        <v>69.918129999999991</v>
      </c>
      <c r="D57" s="444">
        <f>SUM(D50:D56)</f>
        <v>34.890134177363507</v>
      </c>
      <c r="E57" s="444">
        <f>SUM(E50:E56)</f>
        <v>47.07921513836061</v>
      </c>
      <c r="F57" s="444">
        <f>SUM(F50:F56)</f>
        <v>31.793452380952385</v>
      </c>
      <c r="G57" s="447" t="s">
        <v>4</v>
      </c>
      <c r="H57" s="446">
        <f>SUM(C57:F57)</f>
        <v>183.68093169667648</v>
      </c>
      <c r="I57" s="117"/>
      <c r="J57" s="476"/>
      <c r="K57" s="476"/>
      <c r="L57" s="478"/>
      <c r="M57" s="478"/>
      <c r="N57" s="478"/>
      <c r="O57" s="478"/>
      <c r="P57" s="475"/>
    </row>
    <row r="58" spans="2:16" s="120" customFormat="1">
      <c r="B58" s="593"/>
      <c r="C58" s="133"/>
      <c r="D58" s="133"/>
      <c r="E58" s="133"/>
      <c r="F58" s="133"/>
      <c r="G58" s="463"/>
      <c r="H58" s="463"/>
      <c r="I58" s="115"/>
      <c r="J58" s="825"/>
      <c r="K58" s="127"/>
      <c r="L58" s="113"/>
      <c r="M58" s="113"/>
      <c r="N58" s="113"/>
      <c r="O58" s="113"/>
    </row>
    <row r="59" spans="2:16" s="453" customFormat="1">
      <c r="B59" s="116" t="s">
        <v>515</v>
      </c>
      <c r="C59" s="444">
        <f>C40+C46+C57</f>
        <v>4127.8975542691142</v>
      </c>
      <c r="D59" s="444">
        <f>D40+D46+D57</f>
        <v>203.74350816290891</v>
      </c>
      <c r="E59" s="444">
        <f>E40+E46+E57</f>
        <v>347.53610413985609</v>
      </c>
      <c r="F59" s="444">
        <f>F40+F46+F57</f>
        <v>1590.3932144216783</v>
      </c>
      <c r="G59" s="447" t="s">
        <v>4</v>
      </c>
      <c r="H59" s="446">
        <f>SUM(C59:F59)</f>
        <v>6269.5703809935585</v>
      </c>
      <c r="I59" s="117"/>
      <c r="J59" s="476"/>
      <c r="K59" s="476"/>
      <c r="L59" s="478"/>
      <c r="M59" s="478"/>
      <c r="N59" s="478"/>
      <c r="O59" s="478"/>
      <c r="P59" s="475"/>
    </row>
    <row r="60" spans="2:16">
      <c r="B60" s="114"/>
      <c r="C60" s="133"/>
      <c r="D60" s="133"/>
      <c r="E60" s="133"/>
      <c r="F60" s="133"/>
      <c r="G60" s="463"/>
      <c r="H60" s="463"/>
      <c r="I60" s="110"/>
      <c r="J60" s="112"/>
      <c r="K60" s="112"/>
      <c r="L60" s="113"/>
      <c r="M60" s="113"/>
      <c r="N60" s="113"/>
      <c r="O60" s="113"/>
      <c r="P60" s="109"/>
    </row>
    <row r="61" spans="2:16">
      <c r="B61" s="1032"/>
      <c r="C61" s="1033"/>
      <c r="D61" s="1033"/>
      <c r="E61" s="1033"/>
      <c r="F61" s="1033"/>
      <c r="G61" s="1033"/>
      <c r="H61" s="1033"/>
    </row>
    <row r="62" spans="2:16">
      <c r="B62" s="916"/>
      <c r="C62" s="916"/>
      <c r="D62" s="916"/>
      <c r="E62" s="916"/>
      <c r="F62" s="916"/>
      <c r="G62" s="916"/>
      <c r="H62" s="916"/>
    </row>
    <row r="63" spans="2:16">
      <c r="B63" s="116" t="s">
        <v>664</v>
      </c>
      <c r="C63" s="916"/>
      <c r="D63" s="916"/>
      <c r="E63" s="916"/>
      <c r="F63" s="916"/>
      <c r="G63" s="916"/>
      <c r="H63" s="916"/>
    </row>
    <row r="64" spans="2:16">
      <c r="B64" s="985" t="s">
        <v>668</v>
      </c>
      <c r="C64" s="916"/>
      <c r="D64" s="916"/>
      <c r="E64" s="916"/>
      <c r="F64" s="916"/>
      <c r="G64" s="916"/>
      <c r="H64" s="986">
        <f>C40+C57</f>
        <v>1120.0987542691146</v>
      </c>
    </row>
    <row r="65" spans="2:16">
      <c r="B65" s="135" t="s">
        <v>667</v>
      </c>
      <c r="C65" s="916"/>
      <c r="D65" s="916"/>
      <c r="E65" s="916"/>
      <c r="F65" s="916"/>
      <c r="G65" s="916"/>
      <c r="H65" s="986">
        <f>D40+D57</f>
        <v>202.14932454141177</v>
      </c>
    </row>
    <row r="66" spans="2:16">
      <c r="B66" s="985" t="s">
        <v>669</v>
      </c>
      <c r="C66" s="469"/>
      <c r="D66" s="133"/>
      <c r="E66" s="444"/>
      <c r="F66" s="464"/>
      <c r="G66" s="442"/>
      <c r="H66" s="463">
        <f>F40+F57</f>
        <v>1590.3932144216783</v>
      </c>
      <c r="I66" s="118"/>
      <c r="J66" s="112"/>
      <c r="K66" s="113"/>
      <c r="L66" s="113"/>
      <c r="M66" s="113"/>
      <c r="N66" s="113"/>
      <c r="O66" s="109"/>
    </row>
    <row r="67" spans="2:16">
      <c r="B67" s="831" t="s">
        <v>666</v>
      </c>
      <c r="C67" s="469"/>
      <c r="D67" s="469"/>
      <c r="E67" s="592"/>
      <c r="F67" s="464"/>
      <c r="G67" s="442"/>
      <c r="H67" s="848">
        <f>SUM(H64:H66)</f>
        <v>2912.6412932322046</v>
      </c>
      <c r="I67" s="112"/>
      <c r="J67" s="112"/>
      <c r="K67" s="113"/>
      <c r="L67" s="113"/>
      <c r="M67" s="113"/>
      <c r="N67" s="113"/>
      <c r="O67" s="109"/>
    </row>
    <row r="68" spans="2:16">
      <c r="B68" s="985" t="s">
        <v>680</v>
      </c>
      <c r="C68" s="469"/>
      <c r="D68" s="469"/>
      <c r="E68" s="469"/>
      <c r="F68" s="132"/>
      <c r="G68" s="442"/>
      <c r="H68" s="463">
        <f>C46</f>
        <v>3007.7988</v>
      </c>
      <c r="I68" s="112"/>
      <c r="J68" s="112"/>
      <c r="K68" s="113"/>
      <c r="L68" s="113"/>
      <c r="M68" s="113"/>
      <c r="N68" s="113"/>
      <c r="O68" s="109"/>
    </row>
    <row r="69" spans="2:16">
      <c r="B69" s="985" t="s">
        <v>445</v>
      </c>
      <c r="C69" s="469"/>
      <c r="D69" s="469"/>
      <c r="E69" s="469"/>
      <c r="F69" s="132"/>
      <c r="G69" s="442"/>
      <c r="H69" s="463">
        <f>D46</f>
        <v>1.5941836214971243</v>
      </c>
      <c r="I69" s="112"/>
      <c r="J69" s="112"/>
      <c r="K69" s="113"/>
      <c r="L69" s="113"/>
      <c r="M69" s="113"/>
      <c r="N69" s="113"/>
      <c r="O69" s="109"/>
    </row>
    <row r="70" spans="2:16">
      <c r="B70" s="985" t="s">
        <v>670</v>
      </c>
      <c r="C70" s="469"/>
      <c r="D70" s="444"/>
      <c r="E70" s="469"/>
      <c r="F70" s="132"/>
      <c r="G70" s="132"/>
      <c r="H70" s="463">
        <f>F46</f>
        <v>0</v>
      </c>
      <c r="I70" s="112"/>
      <c r="J70" s="112"/>
      <c r="K70" s="113"/>
      <c r="L70" s="113"/>
      <c r="M70" s="113"/>
      <c r="N70" s="113"/>
      <c r="O70" s="109"/>
    </row>
    <row r="71" spans="2:16">
      <c r="B71" s="831" t="s">
        <v>671</v>
      </c>
      <c r="C71" s="43"/>
      <c r="D71" s="43"/>
      <c r="E71" s="832"/>
      <c r="F71" s="43"/>
      <c r="G71" s="43"/>
      <c r="H71" s="598">
        <f>SUM(H68:H70)</f>
        <v>3009.392983621497</v>
      </c>
      <c r="I71" s="112"/>
      <c r="J71" s="112"/>
      <c r="K71" s="113"/>
      <c r="L71" s="113"/>
      <c r="M71" s="113"/>
      <c r="N71" s="113"/>
      <c r="O71" s="109"/>
    </row>
    <row r="72" spans="2:16">
      <c r="B72" s="833" t="s">
        <v>513</v>
      </c>
      <c r="C72" s="919"/>
      <c r="D72" s="919"/>
      <c r="E72" s="987"/>
      <c r="F72" s="988"/>
      <c r="G72" s="919"/>
      <c r="H72" s="818">
        <f>H67+H71</f>
        <v>5922.0342768537012</v>
      </c>
      <c r="I72" s="112"/>
      <c r="J72" s="112"/>
      <c r="K72" s="113"/>
      <c r="L72" s="113"/>
      <c r="M72" s="113"/>
      <c r="N72" s="113"/>
      <c r="O72" s="109"/>
    </row>
    <row r="73" spans="2:16">
      <c r="B73" s="985" t="s">
        <v>672</v>
      </c>
      <c r="C73" s="135"/>
      <c r="D73" s="135"/>
      <c r="E73" s="472"/>
      <c r="F73" s="135"/>
      <c r="G73" s="135"/>
      <c r="H73" s="989">
        <f>E40+E57</f>
        <v>338.71508141258334</v>
      </c>
      <c r="I73" s="112"/>
      <c r="J73" s="112"/>
      <c r="K73" s="113"/>
      <c r="L73" s="113"/>
      <c r="M73" s="113"/>
      <c r="N73" s="113"/>
      <c r="O73" s="109"/>
    </row>
    <row r="74" spans="2:16">
      <c r="B74" s="985" t="s">
        <v>673</v>
      </c>
      <c r="C74" s="135"/>
      <c r="D74" s="135"/>
      <c r="E74" s="472"/>
      <c r="F74" s="135"/>
      <c r="G74" s="135"/>
      <c r="H74" s="990">
        <f>E46</f>
        <v>8.8210227272727266</v>
      </c>
      <c r="I74" s="112"/>
      <c r="J74" s="112"/>
      <c r="K74" s="113"/>
      <c r="L74" s="113"/>
      <c r="M74" s="113"/>
      <c r="N74" s="113"/>
      <c r="O74" s="109"/>
    </row>
    <row r="75" spans="2:16">
      <c r="B75" s="837" t="s">
        <v>514</v>
      </c>
      <c r="C75" s="919"/>
      <c r="D75" s="919"/>
      <c r="E75" s="987"/>
      <c r="F75" s="988"/>
      <c r="G75" s="919"/>
      <c r="H75" s="819">
        <f>H73+H74</f>
        <v>347.53610413985609</v>
      </c>
      <c r="I75" s="112"/>
      <c r="J75" s="112"/>
      <c r="K75" s="113"/>
      <c r="L75" s="113"/>
      <c r="M75" s="113"/>
      <c r="N75" s="113"/>
      <c r="O75" s="109"/>
    </row>
    <row r="76" spans="2:16">
      <c r="B76" s="264"/>
      <c r="C76" s="469"/>
      <c r="D76" s="242"/>
      <c r="E76" s="469"/>
      <c r="F76" s="132"/>
      <c r="G76" s="132"/>
      <c r="H76" s="442"/>
      <c r="I76" s="112"/>
      <c r="J76" s="112"/>
      <c r="K76" s="113"/>
      <c r="L76" s="113"/>
      <c r="M76" s="113"/>
      <c r="N76" s="113"/>
      <c r="O76" s="109"/>
    </row>
    <row r="77" spans="2:16">
      <c r="B77" s="132"/>
      <c r="C77" s="469"/>
      <c r="D77" s="469"/>
      <c r="E77" s="469"/>
      <c r="F77" s="132"/>
      <c r="G77" s="442"/>
      <c r="H77" s="442"/>
      <c r="I77" s="112"/>
      <c r="J77" s="112"/>
      <c r="K77" s="111"/>
      <c r="L77" s="111"/>
      <c r="M77" s="111"/>
      <c r="N77" s="111"/>
      <c r="O77" s="109"/>
    </row>
    <row r="78" spans="2:16">
      <c r="B78" s="110"/>
      <c r="C78" s="110"/>
      <c r="D78" s="110"/>
      <c r="E78" s="110"/>
      <c r="F78" s="110"/>
      <c r="G78" s="110"/>
      <c r="H78" s="111"/>
      <c r="I78" s="110"/>
      <c r="J78" s="112"/>
      <c r="K78" s="112"/>
      <c r="L78" s="111"/>
      <c r="M78" s="111"/>
      <c r="N78" s="111"/>
      <c r="O78" s="111"/>
      <c r="P78" s="109"/>
    </row>
    <row r="79" spans="2:16">
      <c r="B79" s="110"/>
      <c r="C79" s="110"/>
      <c r="D79" s="109"/>
      <c r="E79" s="110"/>
      <c r="F79" s="110"/>
      <c r="G79" s="110"/>
      <c r="H79" s="109"/>
      <c r="I79" s="110"/>
      <c r="L79" s="109"/>
      <c r="M79" s="109"/>
      <c r="N79" s="109"/>
      <c r="O79" s="109"/>
      <c r="P79"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82"/>
  <sheetViews>
    <sheetView showGridLines="0" view="pageLayout" topLeftCell="A26" workbookViewId="0">
      <selection activeCell="B45" sqref="B45"/>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10" width="8.7109375" style="108"/>
    <col min="11" max="11" width="12.42578125" style="108" customWidth="1"/>
    <col min="12" max="14" width="8.7109375" style="108"/>
    <col min="15" max="15" width="11.5703125" style="108" customWidth="1"/>
    <col min="16" max="16384" width="8.7109375" style="108"/>
  </cols>
  <sheetData>
    <row r="1" spans="2:17" ht="16" thickBot="1">
      <c r="F1" s="563"/>
      <c r="G1" s="1263" t="s">
        <v>512</v>
      </c>
      <c r="H1" s="1264"/>
    </row>
    <row r="2" spans="2:17" ht="25" customHeight="1">
      <c r="B2" s="1024" t="str">
        <f>'Workbook Index'!B52</f>
        <v>Squash, Winter</v>
      </c>
      <c r="C2" s="221"/>
      <c r="D2" s="221"/>
      <c r="E2" s="221"/>
      <c r="I2" s="109"/>
      <c r="J2" s="109"/>
    </row>
    <row r="3" spans="2:17" ht="34" customHeight="1">
      <c r="B3" s="1027" t="s">
        <v>716</v>
      </c>
      <c r="C3" s="132" t="s">
        <v>367</v>
      </c>
      <c r="E3" s="222" t="s">
        <v>14</v>
      </c>
      <c r="F3"/>
      <c r="G3"/>
      <c r="H3"/>
      <c r="I3" s="117"/>
      <c r="J3" s="129"/>
      <c r="K3" s="112"/>
      <c r="L3" s="112"/>
      <c r="M3" s="112"/>
      <c r="N3" s="112"/>
      <c r="O3" s="112"/>
    </row>
    <row r="4" spans="2:17">
      <c r="B4" s="918"/>
      <c r="C4" s="132" t="s">
        <v>47</v>
      </c>
      <c r="D4" s="916"/>
      <c r="E4" s="1068">
        <f>'BW1-Bed and Row Spacing'!J34</f>
        <v>2074.2857142857142</v>
      </c>
      <c r="F4" s="135"/>
      <c r="G4" s="135"/>
      <c r="H4" s="135"/>
      <c r="I4" s="110"/>
      <c r="J4" s="111"/>
      <c r="K4" s="112"/>
      <c r="L4" s="112"/>
      <c r="M4" s="112"/>
      <c r="N4" s="112"/>
      <c r="O4" s="112"/>
    </row>
    <row r="5" spans="2:17">
      <c r="B5" s="915"/>
      <c r="C5" s="132" t="s">
        <v>366</v>
      </c>
      <c r="D5" s="916"/>
      <c r="E5" s="1340" t="s">
        <v>837</v>
      </c>
      <c r="F5" s="1340"/>
      <c r="G5" s="1340"/>
      <c r="H5" s="1340"/>
      <c r="I5" s="110"/>
      <c r="J5" s="111"/>
      <c r="K5" s="112"/>
      <c r="L5" s="112"/>
      <c r="M5" s="112"/>
      <c r="N5" s="112"/>
      <c r="O5" s="112"/>
    </row>
    <row r="6" spans="2:17" ht="14" customHeight="1">
      <c r="B6" s="223"/>
      <c r="C6" s="915"/>
      <c r="D6" s="916"/>
      <c r="E6" s="1340"/>
      <c r="F6" s="1340"/>
      <c r="G6" s="1340"/>
      <c r="H6" s="1340"/>
      <c r="I6" s="112"/>
      <c r="J6" s="112"/>
      <c r="K6" s="112"/>
      <c r="L6" s="112"/>
    </row>
    <row r="7" spans="2:17">
      <c r="B7" s="1032"/>
      <c r="C7" s="1033"/>
      <c r="D7" s="1033"/>
      <c r="E7" s="1033"/>
      <c r="F7" s="1033"/>
      <c r="G7" s="1033"/>
      <c r="H7" s="1033"/>
    </row>
    <row r="8" spans="2:17">
      <c r="B8" s="553" t="s">
        <v>517</v>
      </c>
      <c r="C8" s="492"/>
      <c r="D8" s="492"/>
      <c r="E8" s="492"/>
      <c r="F8" s="492"/>
      <c r="G8" s="492"/>
      <c r="H8" s="492"/>
    </row>
    <row r="9" spans="2:17" customFormat="1" ht="33" customHeight="1">
      <c r="B9" s="420" t="s">
        <v>711</v>
      </c>
      <c r="C9" s="421" t="s">
        <v>707</v>
      </c>
      <c r="D9" s="421" t="s">
        <v>708</v>
      </c>
      <c r="E9" s="421" t="s">
        <v>709</v>
      </c>
      <c r="F9" s="421" t="s">
        <v>710</v>
      </c>
      <c r="G9" s="919"/>
      <c r="H9" s="920"/>
      <c r="M9" s="112"/>
      <c r="N9" s="112"/>
      <c r="O9" s="112"/>
      <c r="P9" s="6"/>
      <c r="Q9" s="6"/>
    </row>
    <row r="10" spans="2:17" customFormat="1" ht="30">
      <c r="B10" s="993" t="s">
        <v>516</v>
      </c>
      <c r="C10" s="991" t="s">
        <v>849</v>
      </c>
      <c r="D10" s="991" t="s">
        <v>849</v>
      </c>
      <c r="E10" s="991" t="s">
        <v>849</v>
      </c>
      <c r="F10" s="991" t="s">
        <v>850</v>
      </c>
      <c r="G10" s="992"/>
      <c r="H10" s="462"/>
      <c r="M10" s="112"/>
      <c r="N10" s="112"/>
      <c r="O10" s="6"/>
      <c r="P10" s="6"/>
    </row>
    <row r="11" spans="2:17" ht="15" customHeight="1">
      <c r="B11" s="922" t="s">
        <v>181</v>
      </c>
      <c r="C11" s="999"/>
      <c r="D11" s="1000"/>
      <c r="E11" s="1000"/>
      <c r="F11" s="1001"/>
      <c r="G11" s="509"/>
      <c r="H11" s="509"/>
      <c r="I11" s="112"/>
      <c r="J11" s="112"/>
      <c r="K11" s="112"/>
    </row>
    <row r="12" spans="2:17">
      <c r="B12" s="265" t="s">
        <v>145</v>
      </c>
      <c r="C12" s="512">
        <f>'BW2-Field Act. Labor &amp; Mach.'!I9</f>
        <v>9.23447</v>
      </c>
      <c r="D12" s="520">
        <f>'BW2-Field Act. Labor &amp; Mach.'!K9</f>
        <v>7.1626812745625896</v>
      </c>
      <c r="E12" s="520">
        <f>'BW2-Field Act. Labor &amp; Mach.'!L9</f>
        <v>6.5697668891297312</v>
      </c>
      <c r="F12" s="526"/>
      <c r="G12" s="465"/>
      <c r="H12" s="465"/>
      <c r="I12" s="112"/>
      <c r="J12" s="112"/>
      <c r="K12" s="112"/>
    </row>
    <row r="13" spans="2:17">
      <c r="B13" s="132" t="s">
        <v>46</v>
      </c>
      <c r="C13" s="512">
        <f>'BW2-Field Act. Labor &amp; Mach.'!I10</f>
        <v>11.87289</v>
      </c>
      <c r="D13" s="520">
        <f>'BW2-Field Act. Labor &amp; Mach.'!K10</f>
        <v>16.900081383311999</v>
      </c>
      <c r="E13" s="520">
        <f>'BW2-Field Act. Labor &amp; Mach.'!L10</f>
        <v>23.703168100043012</v>
      </c>
      <c r="F13" s="526"/>
      <c r="G13" s="133"/>
      <c r="H13" s="465"/>
      <c r="I13" s="118"/>
      <c r="J13" s="112"/>
      <c r="K13" s="112"/>
    </row>
    <row r="14" spans="2:17">
      <c r="B14" s="151" t="s">
        <v>69</v>
      </c>
      <c r="C14" s="512"/>
      <c r="D14" s="520"/>
      <c r="E14" s="520"/>
      <c r="F14" s="526">
        <f>'BW3-Variable Input'!C9</f>
        <v>116.66666666666667</v>
      </c>
      <c r="G14" s="133"/>
      <c r="H14" s="465"/>
      <c r="I14" s="118"/>
      <c r="J14" s="112"/>
      <c r="K14" s="112"/>
    </row>
    <row r="15" spans="2:17">
      <c r="B15" s="132" t="s">
        <v>11</v>
      </c>
      <c r="C15" s="512">
        <f>'BW2-Field Act. Labor &amp; Mach.'!I13</f>
        <v>22.426569999999998</v>
      </c>
      <c r="D15" s="520">
        <f>'BW2-Field Act. Labor &amp; Mach.'!K13</f>
        <v>17.993866831056</v>
      </c>
      <c r="E15" s="520">
        <f>'BW2-Field Act. Labor &amp; Mach.'!L13</f>
        <v>44.771770188886023</v>
      </c>
      <c r="F15" s="526"/>
      <c r="G15" s="133"/>
      <c r="H15" s="463"/>
      <c r="I15" s="118"/>
      <c r="J15" s="112"/>
      <c r="K15" s="112"/>
    </row>
    <row r="16" spans="2:17">
      <c r="B16" s="132" t="s">
        <v>137</v>
      </c>
      <c r="C16" s="512">
        <f>'BW2-Field Act. Labor &amp; Mach.'!I12</f>
        <v>6.59605</v>
      </c>
      <c r="D16" s="520">
        <f>'BW2-Field Act. Labor &amp; Mach.'!K12</f>
        <v>3.7281613670297151</v>
      </c>
      <c r="E16" s="520">
        <f>'BW2-Field Act. Labor &amp; Mach.'!L12</f>
        <v>3.4161206017736747</v>
      </c>
      <c r="F16" s="526"/>
      <c r="G16" s="133"/>
      <c r="H16" s="465"/>
      <c r="I16" s="118"/>
      <c r="J16" s="112"/>
      <c r="K16" s="112"/>
    </row>
    <row r="17" spans="2:11">
      <c r="B17" s="132" t="s">
        <v>12</v>
      </c>
      <c r="C17" s="512">
        <f>'BW2-Field Act. Labor &amp; Mach.'!I14</f>
        <v>10.55368</v>
      </c>
      <c r="D17" s="520">
        <f>'BW2-Field Act. Labor &amp; Mach.'!K14</f>
        <v>9.2140341759999984</v>
      </c>
      <c r="E17" s="520">
        <f>'BW2-Field Act. Labor &amp; Mach.'!L14</f>
        <v>29.935417361494395</v>
      </c>
      <c r="F17" s="526"/>
      <c r="G17" s="133"/>
      <c r="H17" s="463"/>
      <c r="I17" s="112"/>
      <c r="J17" s="112"/>
      <c r="K17" s="112"/>
    </row>
    <row r="18" spans="2:11">
      <c r="B18" s="132" t="s">
        <v>13</v>
      </c>
      <c r="C18" s="512">
        <f>'BW2-Field Act. Labor &amp; Mach.'!I17</f>
        <v>72.556550000000001</v>
      </c>
      <c r="D18" s="520">
        <f>'BW2-Field Act. Labor &amp; Mach.'!K17</f>
        <v>18.413226025968029</v>
      </c>
      <c r="E18" s="520">
        <f>'BW2-Field Act. Labor &amp; Mach.'!L17</f>
        <v>38.951406687324337</v>
      </c>
      <c r="F18" s="526"/>
      <c r="G18" s="133"/>
      <c r="H18" s="463"/>
      <c r="I18" s="112"/>
      <c r="J18" s="112"/>
      <c r="K18" s="112"/>
    </row>
    <row r="19" spans="2:11">
      <c r="B19" s="151" t="str">
        <f>'BW3-Variable Input'!$B$19</f>
        <v>Plastic mulch for 84" bed spacing</v>
      </c>
      <c r="C19" s="512"/>
      <c r="D19" s="520"/>
      <c r="E19" s="520"/>
      <c r="F19" s="526">
        <f>'BW3-Variable Input'!C19</f>
        <v>77.785714285714278</v>
      </c>
      <c r="G19" s="133"/>
      <c r="H19" s="463"/>
      <c r="I19" s="112"/>
      <c r="J19" s="112"/>
      <c r="K19" s="112"/>
    </row>
    <row r="20" spans="2:11">
      <c r="B20" s="151" t="s">
        <v>313</v>
      </c>
      <c r="C20" s="512"/>
      <c r="D20" s="520"/>
      <c r="E20" s="520"/>
      <c r="F20" s="526">
        <f>'BW3-Variable Input'!C21</f>
        <v>33.880000000000003</v>
      </c>
      <c r="G20" s="133"/>
      <c r="H20" s="463"/>
      <c r="I20" s="112"/>
      <c r="J20" s="112"/>
      <c r="K20" s="112"/>
    </row>
    <row r="21" spans="2:11">
      <c r="B21" s="418" t="s">
        <v>315</v>
      </c>
      <c r="C21" s="513"/>
      <c r="D21" s="521"/>
      <c r="E21" s="521"/>
      <c r="F21" s="527">
        <f>'BW3-Variable Input'!C11</f>
        <v>186</v>
      </c>
      <c r="G21" s="486"/>
      <c r="H21" s="485"/>
      <c r="I21" s="112"/>
      <c r="J21" s="112"/>
      <c r="K21" s="112"/>
    </row>
    <row r="22" spans="2:11">
      <c r="B22" s="132"/>
      <c r="C22" s="133"/>
      <c r="D22" s="133"/>
      <c r="E22" s="133"/>
      <c r="F22" s="133"/>
      <c r="G22" s="133"/>
      <c r="H22" s="466"/>
      <c r="I22" s="112"/>
      <c r="J22" s="112"/>
      <c r="K22" s="112"/>
    </row>
    <row r="23" spans="2:11">
      <c r="B23" s="921" t="s">
        <v>10</v>
      </c>
      <c r="C23" s="515"/>
      <c r="D23" s="438"/>
      <c r="E23" s="438"/>
      <c r="F23" s="529"/>
      <c r="G23" s="422"/>
      <c r="H23" s="494"/>
      <c r="I23" s="112"/>
      <c r="J23" s="112"/>
      <c r="K23" s="112"/>
    </row>
    <row r="24" spans="2:11">
      <c r="B24" s="132" t="str">
        <f>'BW2-Field Act. Labor &amp; Mach.'!B22</f>
        <v>Transplant on plastic mulch</v>
      </c>
      <c r="C24" s="512">
        <f>'BW2-Field Act. Labor &amp; Mach.'!I22</f>
        <v>131.92099999999999</v>
      </c>
      <c r="D24" s="520">
        <f>'BW2-Field Act. Labor &amp; Mach.'!K22</f>
        <v>36.302136438428491</v>
      </c>
      <c r="E24" s="520">
        <f>'BW2-Field Act. Labor &amp; Mach.'!L22</f>
        <v>41.509045695666089</v>
      </c>
      <c r="F24" s="526"/>
      <c r="G24" s="133"/>
      <c r="H24" s="463"/>
      <c r="I24" s="112"/>
      <c r="J24" s="112"/>
      <c r="K24" s="112"/>
    </row>
    <row r="25" spans="2:11">
      <c r="B25" s="151" t="s">
        <v>685</v>
      </c>
      <c r="C25" s="512"/>
      <c r="D25" s="520"/>
      <c r="E25" s="520"/>
      <c r="F25" s="526">
        <f>'BW4-Transplant Production'!F23</f>
        <v>80.195868342857153</v>
      </c>
      <c r="G25" s="1029" t="s">
        <v>720</v>
      </c>
      <c r="H25" s="465"/>
      <c r="I25" s="112"/>
      <c r="J25" s="112"/>
      <c r="K25" s="112"/>
    </row>
    <row r="26" spans="2:11">
      <c r="B26" s="418" t="s">
        <v>459</v>
      </c>
      <c r="C26" s="513">
        <f>'BW4-Transplant Production'!D23</f>
        <v>206.60414337870378</v>
      </c>
      <c r="D26" s="521"/>
      <c r="E26" s="521"/>
      <c r="F26" s="527">
        <f>'BW4-Transplant Production'!J50</f>
        <v>131.62611990789753</v>
      </c>
      <c r="G26" s="1030" t="s">
        <v>720</v>
      </c>
      <c r="H26" s="1031"/>
      <c r="I26" s="112"/>
      <c r="J26" s="112"/>
      <c r="K26" s="112"/>
    </row>
    <row r="27" spans="2:11">
      <c r="B27" s="132"/>
      <c r="C27" s="133"/>
      <c r="D27" s="133"/>
      <c r="E27" s="133"/>
      <c r="F27" s="133"/>
      <c r="G27" s="133"/>
      <c r="H27" s="466"/>
      <c r="I27" s="112"/>
      <c r="J27" s="112"/>
      <c r="K27" s="112"/>
    </row>
    <row r="28" spans="2:11">
      <c r="B28" s="921" t="s">
        <v>37</v>
      </c>
      <c r="C28" s="515"/>
      <c r="D28" s="438"/>
      <c r="E28" s="438"/>
      <c r="F28" s="529"/>
      <c r="G28" s="422"/>
      <c r="H28" s="494"/>
      <c r="I28" s="112"/>
      <c r="J28" s="112"/>
      <c r="K28" s="112"/>
    </row>
    <row r="29" spans="2:11">
      <c r="B29" s="462" t="s">
        <v>179</v>
      </c>
      <c r="C29" s="512">
        <f>'BW2-Field Act. Labor &amp; Mach.'!$I$31*2</f>
        <v>10.55368</v>
      </c>
      <c r="D29" s="520">
        <f>'BW2-Field Act. Labor &amp; Mach.'!K31*2</f>
        <v>1.6570295666513035</v>
      </c>
      <c r="E29" s="520">
        <f>'BW2-Field Act. Labor &amp; Mach.'!L31*2</f>
        <v>27.363002680965153</v>
      </c>
      <c r="F29" s="526"/>
      <c r="G29" s="133"/>
      <c r="H29" s="133"/>
      <c r="I29" s="112"/>
      <c r="J29" s="112"/>
      <c r="K29" s="112"/>
    </row>
    <row r="30" spans="2:11">
      <c r="B30" s="151" t="str">
        <f>'BW5-Irrigation'!$B$8</f>
        <v>Irrigation supply cost</v>
      </c>
      <c r="C30" s="512"/>
      <c r="D30" s="520"/>
      <c r="E30" s="520"/>
      <c r="F30" s="526">
        <f>'BW5-Irrigation'!$E$8</f>
        <v>32.773534158149545</v>
      </c>
      <c r="G30" s="1029" t="s">
        <v>851</v>
      </c>
      <c r="H30" s="133"/>
      <c r="I30" s="112"/>
      <c r="J30" s="112"/>
      <c r="K30" s="112"/>
    </row>
    <row r="31" spans="2:11">
      <c r="B31" s="132" t="str">
        <f>'BW5-Irrigation'!$B$9</f>
        <v>Irrigation set-up labor cost</v>
      </c>
      <c r="C31" s="512">
        <f>'BW5-Irrigation'!$E$9</f>
        <v>50.735370890410955</v>
      </c>
      <c r="D31" s="520"/>
      <c r="E31" s="520"/>
      <c r="F31" s="526"/>
      <c r="G31" s="1029" t="s">
        <v>851</v>
      </c>
      <c r="H31" s="133"/>
      <c r="I31" s="112"/>
      <c r="J31" s="112"/>
      <c r="K31" s="112"/>
    </row>
    <row r="32" spans="2:11">
      <c r="B32" s="132" t="s">
        <v>336</v>
      </c>
      <c r="C32" s="512">
        <f>'BW2-Field Act. Labor &amp; Mach.'!I39*'BW5-Irrigation'!C39</f>
        <v>263.84199999999998</v>
      </c>
      <c r="D32" s="520"/>
      <c r="E32" s="520"/>
      <c r="F32" s="526"/>
      <c r="G32" s="133"/>
      <c r="H32" s="133"/>
      <c r="I32" s="112"/>
      <c r="J32" s="112"/>
      <c r="K32" s="112"/>
    </row>
    <row r="33" spans="2:15">
      <c r="B33" s="132" t="s">
        <v>338</v>
      </c>
      <c r="C33" s="512">
        <f>'BW2-Field Act. Labor &amp; Mach.'!$I$30*2</f>
        <v>15.83052</v>
      </c>
      <c r="D33" s="520">
        <f>'BW2-Field Act. Labor &amp; Mach.'!K30*2</f>
        <v>3.8005199999999992</v>
      </c>
      <c r="E33" s="520">
        <f>'BW2-Field Act. Labor &amp; Mach.'!L30*2</f>
        <v>13.353658536585364</v>
      </c>
      <c r="F33" s="526"/>
      <c r="G33" s="133"/>
      <c r="H33" s="463"/>
      <c r="I33" s="112"/>
      <c r="J33" s="112"/>
      <c r="K33" s="112"/>
    </row>
    <row r="34" spans="2:15">
      <c r="B34" s="473" t="s">
        <v>136</v>
      </c>
      <c r="C34" s="517">
        <v>197.88</v>
      </c>
      <c r="D34" s="523">
        <f>'BW2-Field Act. Labor &amp; Mach.'!K45</f>
        <v>5.6792833599999994</v>
      </c>
      <c r="E34" s="523">
        <f>'BW2-Field Act. Labor &amp; Mach.'!L45</f>
        <v>4.8213885683253004</v>
      </c>
      <c r="F34" s="530"/>
      <c r="G34" s="133"/>
      <c r="H34" s="463"/>
      <c r="I34" s="112"/>
      <c r="J34" s="112"/>
      <c r="K34" s="112"/>
    </row>
    <row r="35" spans="2:15">
      <c r="B35" s="510" t="s">
        <v>341</v>
      </c>
      <c r="C35" s="517"/>
      <c r="D35" s="523"/>
      <c r="E35" s="523"/>
      <c r="F35" s="526">
        <f>'BW3-Variable Input'!$C$27</f>
        <v>654.99851816666671</v>
      </c>
      <c r="G35" s="133"/>
      <c r="H35" s="463"/>
      <c r="I35" s="112"/>
      <c r="J35" s="112"/>
      <c r="K35" s="112"/>
    </row>
    <row r="36" spans="2:15">
      <c r="B36" s="473" t="s">
        <v>188</v>
      </c>
      <c r="C36" s="517">
        <v>79.150000000000006</v>
      </c>
      <c r="D36" s="523">
        <f>'BW2-Field Act. Labor &amp; Mach.'!K46</f>
        <v>5.6792833599999994</v>
      </c>
      <c r="E36" s="523">
        <f>'BW2-Field Act. Labor &amp; Mach.'!L46</f>
        <v>4.8213885683253004</v>
      </c>
      <c r="F36" s="530"/>
      <c r="G36" s="133"/>
      <c r="H36" s="463"/>
      <c r="I36" s="112"/>
      <c r="J36" s="112"/>
      <c r="K36" s="112"/>
    </row>
    <row r="37" spans="2:15">
      <c r="B37" s="265" t="str">
        <f>'BW2-Field Act. Labor &amp; Mach.'!$B$35</f>
        <v>Handweed plastic mulch holes</v>
      </c>
      <c r="C37" s="512">
        <f>'BW2-Field Act. Labor &amp; Mach.'!$I$35</f>
        <v>65.960499999999996</v>
      </c>
      <c r="D37" s="520"/>
      <c r="E37" s="520"/>
      <c r="F37" s="526"/>
      <c r="G37" s="133"/>
      <c r="H37" s="463"/>
      <c r="I37" s="112"/>
      <c r="J37" s="112"/>
      <c r="K37" s="112"/>
    </row>
    <row r="38" spans="2:15">
      <c r="B38" s="132" t="s">
        <v>327</v>
      </c>
      <c r="C38" s="512">
        <f>'BW2-Field Act. Labor &amp; Mach.'!I37*4</f>
        <v>52.7684</v>
      </c>
      <c r="D38" s="520">
        <f>'BW2-Field Act. Labor &amp; Mach.'!K37*4</f>
        <v>40.728886581040129</v>
      </c>
      <c r="E38" s="520">
        <f>'BW2-Field Act. Labor &amp; Mach.'!L37*4</f>
        <v>52.41973239570433</v>
      </c>
      <c r="F38" s="526"/>
      <c r="G38" s="133"/>
      <c r="H38" s="463"/>
      <c r="I38" s="112"/>
      <c r="J38" s="112"/>
      <c r="K38" s="112"/>
    </row>
    <row r="39" spans="2:15">
      <c r="B39" s="414" t="s">
        <v>501</v>
      </c>
      <c r="C39" s="512"/>
      <c r="D39" s="520"/>
      <c r="E39" s="520"/>
      <c r="F39" s="526">
        <f>'BW3-Variable Input'!C63</f>
        <v>153.53688378684805</v>
      </c>
      <c r="G39" s="473"/>
      <c r="H39" s="479"/>
      <c r="I39"/>
      <c r="J39"/>
      <c r="K39"/>
      <c r="L39"/>
      <c r="M39"/>
      <c r="N39"/>
      <c r="O39"/>
    </row>
    <row r="40" spans="2:15">
      <c r="B40" s="10" t="s">
        <v>189</v>
      </c>
      <c r="C40" s="532">
        <f>'BW2-Field Act. Labor &amp; Mach.'!$I$40*('BW5-Irrigation'!D39+'BW5-Irrigation'!E39)</f>
        <v>34.299460000000003</v>
      </c>
      <c r="D40" s="535">
        <f>'BW2-Field Act. Labor &amp; Mach.'!K40*('BW5-Irrigation'!C39+'BW5-Irrigation'!D39+'BW5-Irrigation'!E39)</f>
        <v>246.37757561358208</v>
      </c>
      <c r="E40" s="535">
        <f>'BW2-Field Act. Labor &amp; Mach.'!L40*('BW5-Irrigation'!C39+'BW5-Irrigation'!D39+'BW5-Irrigation'!E39)</f>
        <v>320.10492507245351</v>
      </c>
      <c r="F40" s="538"/>
      <c r="G40" s="1004"/>
      <c r="H40" s="463"/>
      <c r="I40" s="112"/>
      <c r="J40" s="112"/>
      <c r="K40" s="112"/>
    </row>
    <row r="41" spans="2:15">
      <c r="B41" s="12" t="s">
        <v>612</v>
      </c>
      <c r="C41" s="532"/>
      <c r="D41" s="535"/>
      <c r="E41" s="535"/>
      <c r="F41" s="538">
        <f>'BW3-Variable Input'!$C$15*'BW5-Irrigation'!E39</f>
        <v>34</v>
      </c>
      <c r="G41" s="1029" t="s">
        <v>851</v>
      </c>
      <c r="H41" s="463"/>
      <c r="I41" s="112"/>
      <c r="J41" s="112"/>
      <c r="K41" s="112"/>
    </row>
    <row r="42" spans="2:15">
      <c r="B42" s="490" t="s">
        <v>613</v>
      </c>
      <c r="C42" s="518"/>
      <c r="D42" s="524"/>
      <c r="E42" s="524"/>
      <c r="F42" s="531">
        <f>'BW3-Variable Input'!$C$16*'BW5-Irrigation'!F39</f>
        <v>19.5</v>
      </c>
      <c r="G42" s="1030" t="s">
        <v>851</v>
      </c>
      <c r="H42" s="485"/>
      <c r="I42" s="112"/>
      <c r="J42" s="112"/>
      <c r="K42" s="112"/>
    </row>
    <row r="43" spans="2:15" s="453" customFormat="1">
      <c r="B43" s="824" t="s">
        <v>508</v>
      </c>
      <c r="C43" s="444">
        <f>SUM(C12:C21, C24:C26, C29:C42)</f>
        <v>1242.7852842691145</v>
      </c>
      <c r="D43" s="444">
        <f>SUM(D12:D21, D24:D26,D29:D42)</f>
        <v>413.63676597763038</v>
      </c>
      <c r="E43" s="444">
        <f>SUM(E12:E21, E24:E26,E29:E42)</f>
        <v>611.74079134667625</v>
      </c>
      <c r="F43" s="444">
        <f>SUM(F12:F21, F24:F26,F29:F42)</f>
        <v>1520.9633053147998</v>
      </c>
      <c r="G43" s="445" t="s">
        <v>4</v>
      </c>
      <c r="H43" s="446">
        <f>SUM(C43:F43)</f>
        <v>3789.126146908221</v>
      </c>
      <c r="I43" s="477"/>
      <c r="J43" s="477"/>
      <c r="K43" s="477"/>
      <c r="L43" s="475"/>
    </row>
    <row r="44" spans="2:15" s="120" customFormat="1" ht="15" customHeight="1">
      <c r="B44" s="593"/>
      <c r="C44" s="133"/>
      <c r="D44" s="133"/>
      <c r="E44" s="133"/>
      <c r="F44" s="133"/>
      <c r="G44" s="924"/>
      <c r="H44" s="265"/>
    </row>
    <row r="45" spans="2:15" s="119" customFormat="1" ht="15" customHeight="1">
      <c r="B45" s="116" t="s">
        <v>914</v>
      </c>
      <c r="C45" s="133"/>
      <c r="D45" s="133"/>
      <c r="E45" s="133"/>
      <c r="F45" s="133"/>
      <c r="G45" s="924"/>
      <c r="H45" s="265"/>
    </row>
    <row r="46" spans="2:15">
      <c r="B46" s="921" t="s">
        <v>3</v>
      </c>
      <c r="C46" s="514"/>
      <c r="D46" s="522"/>
      <c r="E46" s="522"/>
      <c r="F46" s="528"/>
      <c r="G46" s="983"/>
      <c r="H46" s="491"/>
      <c r="I46" s="111"/>
      <c r="J46" s="111"/>
      <c r="K46" s="111"/>
      <c r="L46" s="109"/>
    </row>
    <row r="47" spans="2:15">
      <c r="B47" s="132" t="s">
        <v>621</v>
      </c>
      <c r="C47" s="512">
        <f>'BW6-Harvest and Wash-Pack'!D34+'BW2-Field Act. Labor &amp; Mach.'!I55</f>
        <v>224.26569999999998</v>
      </c>
      <c r="D47" s="520">
        <f>'BW2-Field Act. Labor &amp; Mach.'!K55</f>
        <v>14.792442634536425</v>
      </c>
      <c r="E47" s="520">
        <f>'BW2-Field Act. Labor &amp; Mach.'!L55</f>
        <v>14.444040020263422</v>
      </c>
      <c r="F47" s="526"/>
      <c r="G47" s="1029" t="s">
        <v>852</v>
      </c>
      <c r="H47" s="265"/>
      <c r="I47" s="113"/>
      <c r="J47" s="113"/>
      <c r="K47" s="113"/>
      <c r="L47" s="109"/>
    </row>
    <row r="48" spans="2:15">
      <c r="B48" s="489" t="s">
        <v>349</v>
      </c>
      <c r="C48" s="513">
        <f>'BW6-Harvest and Wash-Pack'!F34</f>
        <v>197.88149999999999</v>
      </c>
      <c r="D48" s="521"/>
      <c r="E48" s="521"/>
      <c r="F48" s="527"/>
      <c r="G48" s="1030" t="s">
        <v>852</v>
      </c>
      <c r="H48" s="492"/>
      <c r="I48" s="113"/>
      <c r="J48" s="113"/>
      <c r="K48" s="113"/>
      <c r="L48" s="109"/>
    </row>
    <row r="49" spans="2:12" s="453" customFormat="1">
      <c r="B49" s="824" t="s">
        <v>508</v>
      </c>
      <c r="C49" s="444">
        <f>SUM(C47:C48)</f>
        <v>422.1472</v>
      </c>
      <c r="D49" s="444">
        <f>SUM(D47:D48)</f>
        <v>14.792442634536425</v>
      </c>
      <c r="E49" s="444">
        <f>SUM(E47:E48)</f>
        <v>14.444040020263422</v>
      </c>
      <c r="F49" s="444">
        <f>SUM(F47:F48)</f>
        <v>0</v>
      </c>
      <c r="G49" s="445" t="s">
        <v>4</v>
      </c>
      <c r="H49" s="446">
        <f>SUM(C49:F49)</f>
        <v>451.38368265479983</v>
      </c>
      <c r="I49" s="477"/>
      <c r="J49" s="477"/>
      <c r="K49" s="477"/>
      <c r="L49" s="475"/>
    </row>
    <row r="50" spans="2:12" s="120" customFormat="1" ht="15" customHeight="1">
      <c r="B50" s="593"/>
      <c r="C50" s="133"/>
      <c r="D50" s="133"/>
      <c r="E50" s="133"/>
      <c r="F50" s="133"/>
      <c r="G50" s="924"/>
      <c r="H50" s="265"/>
    </row>
    <row r="51" spans="2:12" s="119" customFormat="1" ht="15" customHeight="1">
      <c r="B51" s="116" t="s">
        <v>662</v>
      </c>
      <c r="C51" s="133"/>
      <c r="D51" s="133"/>
      <c r="E51" s="133"/>
      <c r="F51" s="133"/>
      <c r="G51" s="924"/>
      <c r="H51" s="265"/>
    </row>
    <row r="52" spans="2:12">
      <c r="B52" s="921" t="s">
        <v>663</v>
      </c>
      <c r="C52" s="515"/>
      <c r="D52" s="438"/>
      <c r="E52" s="438"/>
      <c r="F52" s="529"/>
      <c r="G52" s="494"/>
      <c r="H52" s="494"/>
      <c r="I52" s="113"/>
      <c r="J52" s="113"/>
      <c r="K52" s="113"/>
      <c r="L52" s="109"/>
    </row>
    <row r="53" spans="2:12">
      <c r="B53" s="132" t="s">
        <v>42</v>
      </c>
      <c r="C53" s="512">
        <f>'BW2-Field Act. Labor &amp; Mach.'!$I$62</f>
        <v>10.55368</v>
      </c>
      <c r="D53" s="520">
        <f>'BW2-Field Act. Labor &amp; Mach.'!K62</f>
        <v>8.1859214566429603</v>
      </c>
      <c r="E53" s="520">
        <f>'BW2-Field Act. Labor &amp; Mach.'!L62</f>
        <v>7.508305016148265</v>
      </c>
      <c r="F53" s="526"/>
      <c r="G53" s="463"/>
      <c r="H53" s="463"/>
      <c r="I53" s="113"/>
      <c r="J53" s="113"/>
      <c r="K53" s="113"/>
      <c r="L53" s="109"/>
    </row>
    <row r="54" spans="2:12">
      <c r="B54" s="132" t="s">
        <v>149</v>
      </c>
      <c r="C54" s="512">
        <f>'BW2-Field Act. Labor &amp; Mach.'!$I$63</f>
        <v>7.91526</v>
      </c>
      <c r="D54" s="520">
        <f>'BW2-Field Act. Labor &amp; Mach.'!K63</f>
        <v>6.9413678434651436</v>
      </c>
      <c r="E54" s="520">
        <f>'BW2-Field Act. Labor &amp; Mach.'!L63</f>
        <v>14.062451996276074</v>
      </c>
      <c r="F54" s="526"/>
      <c r="G54" s="463"/>
      <c r="H54" s="463"/>
      <c r="I54" s="113"/>
      <c r="J54" s="113"/>
      <c r="K54" s="113"/>
      <c r="L54" s="109"/>
    </row>
    <row r="55" spans="2:12">
      <c r="B55" s="132" t="s">
        <v>158</v>
      </c>
      <c r="C55" s="512">
        <f>'BW2-Field Act. Labor &amp; Mach.'!$I$64</f>
        <v>26.3842</v>
      </c>
      <c r="D55" s="520">
        <f>'BW2-Field Act. Labor &amp; Mach.'!K64</f>
        <v>4.5434266879999994</v>
      </c>
      <c r="E55" s="520">
        <f>'BW2-Field Act. Labor &amp; Mach.'!L64</f>
        <v>3.8571108546602404</v>
      </c>
      <c r="F55" s="526"/>
      <c r="G55" s="463"/>
      <c r="H55" s="463"/>
      <c r="I55" s="113"/>
      <c r="J55" s="113"/>
      <c r="K55" s="113"/>
      <c r="L55" s="109"/>
    </row>
    <row r="56" spans="2:12">
      <c r="B56" s="132" t="s">
        <v>43</v>
      </c>
      <c r="C56" s="512">
        <f>'BW2-Field Act. Labor &amp; Mach.'!$I$66</f>
        <v>5.27684</v>
      </c>
      <c r="D56" s="520">
        <f>'BW2-Field Act. Labor &amp; Mach.'!K66</f>
        <v>4.7393418269465482</v>
      </c>
      <c r="E56" s="520">
        <f>'BW2-Field Act. Labor &amp; Mach.'!L66</f>
        <v>4.8215303303156709</v>
      </c>
      <c r="F56" s="526"/>
      <c r="G56" s="463"/>
      <c r="H56" s="463"/>
      <c r="I56" s="113"/>
      <c r="J56" s="113"/>
      <c r="K56" s="113"/>
      <c r="L56" s="109"/>
    </row>
    <row r="57" spans="2:12">
      <c r="B57" s="132" t="s">
        <v>44</v>
      </c>
      <c r="C57" s="512">
        <f>'BW2-Field Act. Labor &amp; Mach.'!$I$67</f>
        <v>5.27684</v>
      </c>
      <c r="D57" s="520">
        <f>'BW2-Field Act. Labor &amp; Mach.'!K67</f>
        <v>4.5754035882945541</v>
      </c>
      <c r="E57" s="520">
        <f>'BW2-Field Act. Labor &amp; Mach.'!L67</f>
        <v>8.7882358546602415</v>
      </c>
      <c r="F57" s="526"/>
      <c r="G57" s="463"/>
      <c r="H57" s="463"/>
      <c r="I57" s="113"/>
      <c r="J57" s="113"/>
      <c r="K57" s="113"/>
      <c r="L57" s="109"/>
    </row>
    <row r="58" spans="2:12">
      <c r="B58" s="132" t="s">
        <v>45</v>
      </c>
      <c r="C58" s="512">
        <f>'BW2-Field Act. Labor &amp; Mach.'!$I$69</f>
        <v>14.511310000000002</v>
      </c>
      <c r="D58" s="520">
        <f>'BW2-Field Act. Labor &amp; Mach.'!K69</f>
        <v>5.9046727740142977</v>
      </c>
      <c r="E58" s="520">
        <f>'BW2-Field Act. Labor &amp; Mach.'!L69</f>
        <v>8.041581086300118</v>
      </c>
      <c r="F58" s="526"/>
      <c r="G58" s="463"/>
      <c r="H58" s="463"/>
      <c r="I58" s="113"/>
      <c r="J58" s="113"/>
      <c r="K58" s="113"/>
      <c r="L58" s="109"/>
    </row>
    <row r="59" spans="2:12">
      <c r="B59" s="500" t="str">
        <f>'BW3-Variable Input'!$B$33</f>
        <v>Winter cover crop seed</v>
      </c>
      <c r="C59" s="513"/>
      <c r="D59" s="521"/>
      <c r="E59" s="521"/>
      <c r="F59" s="527">
        <f>'BW3-Variable Input'!$C$33</f>
        <v>31.793452380952385</v>
      </c>
      <c r="G59" s="485"/>
      <c r="H59" s="485"/>
      <c r="I59" s="113"/>
      <c r="J59" s="113"/>
      <c r="K59" s="113"/>
      <c r="L59" s="109"/>
    </row>
    <row r="60" spans="2:12" s="453" customFormat="1">
      <c r="B60" s="824" t="s">
        <v>508</v>
      </c>
      <c r="C60" s="444">
        <f>SUM(C53:C59)</f>
        <v>69.918129999999991</v>
      </c>
      <c r="D60" s="444">
        <f>SUM(D53:D59)</f>
        <v>34.890134177363507</v>
      </c>
      <c r="E60" s="444">
        <f>SUM(E53:E59)</f>
        <v>47.07921513836061</v>
      </c>
      <c r="F60" s="444">
        <f>SUM(F53:F59)</f>
        <v>31.793452380952385</v>
      </c>
      <c r="G60" s="447" t="s">
        <v>4</v>
      </c>
      <c r="H60" s="446">
        <f>SUM(C60:F60)</f>
        <v>183.68093169667648</v>
      </c>
      <c r="I60" s="478"/>
      <c r="J60" s="478"/>
      <c r="K60" s="478"/>
      <c r="L60" s="475"/>
    </row>
    <row r="61" spans="2:12" s="120" customFormat="1">
      <c r="B61" s="593"/>
      <c r="C61" s="133"/>
      <c r="D61" s="133"/>
      <c r="E61" s="133"/>
      <c r="F61" s="133"/>
      <c r="G61" s="463"/>
      <c r="H61" s="463"/>
      <c r="I61" s="113"/>
      <c r="J61" s="113"/>
      <c r="K61" s="113"/>
    </row>
    <row r="62" spans="2:12" s="453" customFormat="1">
      <c r="B62" s="116" t="s">
        <v>515</v>
      </c>
      <c r="C62" s="444">
        <f>C43+C49+C60</f>
        <v>1734.8506142691144</v>
      </c>
      <c r="D62" s="444">
        <f>D43+D49+D60</f>
        <v>463.31934278953031</v>
      </c>
      <c r="E62" s="444">
        <f>E43+E49+E60</f>
        <v>673.26404650530026</v>
      </c>
      <c r="F62" s="444">
        <f>F43+F49+F60</f>
        <v>1552.7567576957522</v>
      </c>
      <c r="G62" s="447" t="s">
        <v>4</v>
      </c>
      <c r="H62" s="446">
        <f>SUM(C62:F62)</f>
        <v>4424.190761259697</v>
      </c>
      <c r="I62" s="478"/>
      <c r="J62" s="478"/>
      <c r="K62" s="478"/>
      <c r="L62" s="475"/>
    </row>
    <row r="63" spans="2:12">
      <c r="B63" s="114"/>
      <c r="C63" s="133"/>
      <c r="D63" s="133"/>
      <c r="E63" s="133"/>
      <c r="F63" s="133"/>
      <c r="G63" s="463"/>
      <c r="H63" s="463"/>
      <c r="I63" s="113"/>
      <c r="J63" s="113"/>
      <c r="K63" s="113"/>
      <c r="L63" s="109"/>
    </row>
    <row r="64" spans="2:12">
      <c r="B64" s="1032"/>
      <c r="C64" s="1033"/>
      <c r="D64" s="1033"/>
      <c r="E64" s="1033"/>
      <c r="F64" s="1033"/>
      <c r="G64" s="1033"/>
      <c r="H64" s="1033"/>
    </row>
    <row r="65" spans="2:11">
      <c r="B65" s="916"/>
      <c r="C65" s="916"/>
      <c r="D65" s="916"/>
      <c r="E65" s="916"/>
      <c r="F65" s="916"/>
      <c r="G65" s="916"/>
      <c r="H65" s="916"/>
    </row>
    <row r="66" spans="2:11">
      <c r="B66" s="116" t="s">
        <v>664</v>
      </c>
      <c r="C66" s="916"/>
      <c r="D66" s="916"/>
      <c r="E66" s="916"/>
      <c r="F66" s="916"/>
      <c r="G66" s="916"/>
      <c r="H66" s="916"/>
    </row>
    <row r="67" spans="2:11">
      <c r="B67" s="985" t="s">
        <v>668</v>
      </c>
      <c r="C67" s="916"/>
      <c r="D67" s="916"/>
      <c r="E67" s="916"/>
      <c r="F67" s="916"/>
      <c r="G67" s="916"/>
      <c r="H67" s="986">
        <f>C43+C60</f>
        <v>1312.7034142691145</v>
      </c>
    </row>
    <row r="68" spans="2:11">
      <c r="B68" s="135" t="s">
        <v>667</v>
      </c>
      <c r="C68" s="916"/>
      <c r="D68" s="916"/>
      <c r="E68" s="916"/>
      <c r="F68" s="916"/>
      <c r="G68" s="916"/>
      <c r="H68" s="986">
        <f>D43+D60</f>
        <v>448.52690015499388</v>
      </c>
    </row>
    <row r="69" spans="2:11">
      <c r="B69" s="985" t="s">
        <v>669</v>
      </c>
      <c r="C69" s="469"/>
      <c r="D69" s="133"/>
      <c r="E69" s="444"/>
      <c r="F69" s="464"/>
      <c r="G69" s="442"/>
      <c r="H69" s="463">
        <f>F43+F60</f>
        <v>1552.7567576957522</v>
      </c>
      <c r="I69" s="113"/>
      <c r="J69" s="113"/>
      <c r="K69" s="109"/>
    </row>
    <row r="70" spans="2:11">
      <c r="B70" s="831" t="s">
        <v>666</v>
      </c>
      <c r="C70" s="469"/>
      <c r="D70" s="469"/>
      <c r="E70" s="592"/>
      <c r="F70" s="464"/>
      <c r="G70" s="442"/>
      <c r="H70" s="848">
        <f>SUM(H67:H69)</f>
        <v>3313.9870721198604</v>
      </c>
      <c r="I70" s="113"/>
      <c r="J70" s="113"/>
      <c r="K70" s="109"/>
    </row>
    <row r="71" spans="2:11">
      <c r="B71" s="985" t="s">
        <v>680</v>
      </c>
      <c r="C71" s="469"/>
      <c r="D71" s="469"/>
      <c r="E71" s="469"/>
      <c r="F71" s="132"/>
      <c r="G71" s="442"/>
      <c r="H71" s="463">
        <f>C49</f>
        <v>422.1472</v>
      </c>
      <c r="I71" s="113"/>
      <c r="J71" s="113"/>
      <c r="K71" s="109"/>
    </row>
    <row r="72" spans="2:11">
      <c r="B72" s="985" t="s">
        <v>445</v>
      </c>
      <c r="C72" s="469"/>
      <c r="D72" s="469"/>
      <c r="E72" s="469"/>
      <c r="F72" s="132"/>
      <c r="G72" s="442"/>
      <c r="H72" s="463">
        <f>D49</f>
        <v>14.792442634536425</v>
      </c>
      <c r="I72" s="113"/>
      <c r="J72" s="113"/>
      <c r="K72" s="109"/>
    </row>
    <row r="73" spans="2:11">
      <c r="B73" s="985" t="s">
        <v>670</v>
      </c>
      <c r="C73" s="469"/>
      <c r="D73" s="444"/>
      <c r="E73" s="469"/>
      <c r="F73" s="132"/>
      <c r="G73" s="132"/>
      <c r="H73" s="463">
        <f>F49</f>
        <v>0</v>
      </c>
      <c r="I73" s="113"/>
      <c r="J73" s="113"/>
      <c r="K73" s="109"/>
    </row>
    <row r="74" spans="2:11">
      <c r="B74" s="831" t="s">
        <v>671</v>
      </c>
      <c r="C74" s="43"/>
      <c r="D74" s="43"/>
      <c r="E74" s="832"/>
      <c r="F74" s="43"/>
      <c r="G74" s="43"/>
      <c r="H74" s="598">
        <f>SUM(H71:H73)</f>
        <v>436.93964263453643</v>
      </c>
      <c r="I74" s="113"/>
      <c r="J74" s="113"/>
      <c r="K74" s="109"/>
    </row>
    <row r="75" spans="2:11">
      <c r="B75" s="833" t="s">
        <v>513</v>
      </c>
      <c r="C75" s="919"/>
      <c r="D75" s="919"/>
      <c r="E75" s="987"/>
      <c r="F75" s="988"/>
      <c r="G75" s="919"/>
      <c r="H75" s="818">
        <f>H70+H74</f>
        <v>3750.9267147543969</v>
      </c>
      <c r="I75" s="113"/>
      <c r="J75" s="113"/>
      <c r="K75" s="109"/>
    </row>
    <row r="76" spans="2:11">
      <c r="B76" s="985" t="s">
        <v>672</v>
      </c>
      <c r="C76" s="135"/>
      <c r="D76" s="135"/>
      <c r="E76" s="472"/>
      <c r="F76" s="135"/>
      <c r="G76" s="135"/>
      <c r="H76" s="989">
        <f>E43+E60</f>
        <v>658.82000648503686</v>
      </c>
      <c r="I76" s="113"/>
      <c r="J76" s="113"/>
      <c r="K76" s="109"/>
    </row>
    <row r="77" spans="2:11">
      <c r="B77" s="985" t="s">
        <v>673</v>
      </c>
      <c r="C77" s="135"/>
      <c r="D77" s="135"/>
      <c r="E77" s="472"/>
      <c r="F77" s="135"/>
      <c r="G77" s="135"/>
      <c r="H77" s="990">
        <f>E49</f>
        <v>14.444040020263422</v>
      </c>
      <c r="I77" s="113"/>
      <c r="J77" s="113"/>
      <c r="K77" s="109"/>
    </row>
    <row r="78" spans="2:11">
      <c r="B78" s="837" t="s">
        <v>514</v>
      </c>
      <c r="C78" s="919"/>
      <c r="D78" s="919"/>
      <c r="E78" s="987"/>
      <c r="F78" s="988"/>
      <c r="G78" s="919"/>
      <c r="H78" s="819">
        <f>H76+H77</f>
        <v>673.26404650530026</v>
      </c>
      <c r="I78" s="113"/>
      <c r="J78" s="113"/>
      <c r="K78" s="109"/>
    </row>
    <row r="79" spans="2:11">
      <c r="B79" s="264"/>
      <c r="C79" s="469"/>
      <c r="D79" s="444"/>
      <c r="E79" s="469"/>
      <c r="F79" s="132"/>
      <c r="G79" s="132"/>
      <c r="H79" s="442"/>
      <c r="I79" s="113"/>
      <c r="J79" s="113"/>
      <c r="K79" s="109"/>
    </row>
    <row r="80" spans="2:11">
      <c r="B80" s="132"/>
      <c r="C80" s="469"/>
      <c r="D80" s="469"/>
      <c r="E80" s="469"/>
      <c r="F80" s="132"/>
      <c r="G80" s="442"/>
      <c r="H80" s="442"/>
      <c r="I80" s="111"/>
      <c r="J80" s="111"/>
      <c r="K80" s="109"/>
    </row>
    <row r="81" spans="2:12">
      <c r="B81" s="132"/>
      <c r="C81" s="132"/>
      <c r="D81" s="132"/>
      <c r="E81" s="132"/>
      <c r="F81" s="132"/>
      <c r="G81" s="442"/>
      <c r="H81" s="442"/>
      <c r="I81" s="111"/>
      <c r="J81" s="111"/>
      <c r="K81" s="109"/>
    </row>
    <row r="82" spans="2:12">
      <c r="B82" s="110"/>
      <c r="C82" s="110"/>
      <c r="D82" s="109"/>
      <c r="E82" s="110"/>
      <c r="F82" s="110"/>
      <c r="G82" s="110"/>
      <c r="H82" s="109"/>
      <c r="I82" s="109"/>
      <c r="J82" s="109"/>
      <c r="K82" s="109"/>
      <c r="L82"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92"/>
  <sheetViews>
    <sheetView showGridLines="0" view="pageLayout" topLeftCell="A27" workbookViewId="0">
      <selection activeCell="B50" sqref="B50"/>
    </sheetView>
  </sheetViews>
  <sheetFormatPr baseColWidth="10" defaultColWidth="8.7109375" defaultRowHeight="15" x14ac:dyDescent="0"/>
  <cols>
    <col min="1" max="1" width="1" customWidth="1"/>
    <col min="2" max="2" width="43.42578125" customWidth="1"/>
    <col min="3" max="6" width="17.85546875" customWidth="1"/>
    <col min="7" max="7" width="9" customWidth="1"/>
    <col min="8" max="8" width="16.7109375" customWidth="1"/>
    <col min="9" max="9" width="14.42578125" customWidth="1"/>
    <col min="12" max="12" width="12.42578125" customWidth="1"/>
    <col min="16" max="16" width="11.5703125" customWidth="1"/>
  </cols>
  <sheetData>
    <row r="1" spans="2:17" ht="16" thickBot="1">
      <c r="F1" s="563"/>
      <c r="G1" s="1263" t="s">
        <v>512</v>
      </c>
      <c r="H1" s="1264"/>
    </row>
    <row r="2" spans="2:17" ht="25" customHeight="1">
      <c r="B2" s="1024" t="str">
        <f>'Workbook Index'!B53</f>
        <v>Tomatoes</v>
      </c>
      <c r="C2" s="221"/>
      <c r="D2" s="221"/>
      <c r="E2" s="221"/>
      <c r="I2" s="109"/>
      <c r="J2" s="109"/>
      <c r="K2" s="109"/>
    </row>
    <row r="3" spans="2:17" ht="33.5" customHeight="1">
      <c r="B3" s="1027" t="s">
        <v>716</v>
      </c>
      <c r="C3" s="132" t="s">
        <v>367</v>
      </c>
      <c r="E3" s="222" t="s">
        <v>14</v>
      </c>
      <c r="I3" s="109"/>
      <c r="J3" s="117"/>
      <c r="K3" s="129"/>
      <c r="L3" s="6"/>
      <c r="M3" s="6"/>
      <c r="N3" s="6"/>
      <c r="O3" s="6"/>
      <c r="P3" s="6"/>
    </row>
    <row r="4" spans="2:17">
      <c r="B4" s="918"/>
      <c r="C4" s="132" t="s">
        <v>47</v>
      </c>
      <c r="D4" s="135"/>
      <c r="E4" s="1096">
        <f>'BW1-Bed and Row Spacing'!J35</f>
        <v>1815</v>
      </c>
      <c r="F4" s="135"/>
      <c r="G4" s="135"/>
      <c r="H4" s="135"/>
      <c r="I4" s="109"/>
      <c r="J4" s="110"/>
      <c r="K4" s="111"/>
      <c r="L4" s="6"/>
      <c r="M4" s="6"/>
      <c r="N4" s="6"/>
      <c r="O4" s="6"/>
      <c r="P4" s="6"/>
    </row>
    <row r="5" spans="2:17">
      <c r="B5" s="915"/>
      <c r="C5" s="132" t="s">
        <v>366</v>
      </c>
      <c r="D5" s="135"/>
      <c r="E5" s="1338" t="s">
        <v>838</v>
      </c>
      <c r="F5" s="1338"/>
      <c r="G5" s="1338"/>
      <c r="H5" s="1338"/>
      <c r="J5" s="110"/>
      <c r="K5" s="111"/>
      <c r="L5" s="6"/>
      <c r="M5" s="6"/>
      <c r="N5" s="6"/>
      <c r="O5" s="6"/>
      <c r="P5" s="6"/>
    </row>
    <row r="6" spans="2:17" ht="12" customHeight="1">
      <c r="B6" s="915"/>
      <c r="C6" s="132"/>
      <c r="D6" s="135"/>
      <c r="E6" s="1013"/>
      <c r="F6" s="1013"/>
      <c r="G6" s="1013"/>
      <c r="H6" s="1013"/>
      <c r="J6" s="110"/>
      <c r="K6" s="111"/>
      <c r="L6" s="6"/>
      <c r="M6" s="6"/>
      <c r="N6" s="6"/>
      <c r="O6" s="6"/>
      <c r="P6" s="6"/>
    </row>
    <row r="7" spans="2:17" s="108" customFormat="1">
      <c r="B7" s="1032"/>
      <c r="C7" s="1033"/>
      <c r="D7" s="1033"/>
      <c r="E7" s="1033"/>
      <c r="F7" s="1033"/>
      <c r="G7" s="1033"/>
      <c r="H7" s="1033"/>
    </row>
    <row r="8" spans="2:17" s="108" customFormat="1">
      <c r="B8" s="553" t="s">
        <v>517</v>
      </c>
      <c r="C8" s="492"/>
      <c r="D8" s="492"/>
      <c r="E8" s="492"/>
      <c r="F8" s="492"/>
      <c r="G8" s="492"/>
      <c r="H8" s="492"/>
    </row>
    <row r="9" spans="2:17" ht="33" customHeight="1">
      <c r="B9" s="420" t="s">
        <v>711</v>
      </c>
      <c r="C9" s="421" t="s">
        <v>707</v>
      </c>
      <c r="D9" s="421" t="s">
        <v>708</v>
      </c>
      <c r="E9" s="421" t="s">
        <v>709</v>
      </c>
      <c r="F9" s="421" t="s">
        <v>710</v>
      </c>
      <c r="G9" s="919"/>
      <c r="H9" s="920"/>
      <c r="M9" s="112"/>
      <c r="N9" s="112"/>
      <c r="O9" s="112"/>
      <c r="P9" s="6"/>
      <c r="Q9" s="6"/>
    </row>
    <row r="10" spans="2:17" ht="30">
      <c r="B10" s="993" t="s">
        <v>516</v>
      </c>
      <c r="C10" s="991" t="s">
        <v>849</v>
      </c>
      <c r="D10" s="991" t="s">
        <v>849</v>
      </c>
      <c r="E10" s="991" t="s">
        <v>849</v>
      </c>
      <c r="F10" s="991" t="s">
        <v>850</v>
      </c>
      <c r="G10" s="992"/>
      <c r="H10" s="462"/>
      <c r="M10" s="112"/>
      <c r="N10" s="112"/>
      <c r="O10" s="6"/>
      <c r="P10" s="6"/>
    </row>
    <row r="11" spans="2:17" ht="14" customHeight="1">
      <c r="B11" s="922" t="s">
        <v>181</v>
      </c>
      <c r="C11" s="999"/>
      <c r="D11" s="1000"/>
      <c r="E11" s="1000"/>
      <c r="F11" s="1001"/>
      <c r="G11" s="509"/>
      <c r="H11" s="509"/>
      <c r="I11" s="112"/>
      <c r="J11" s="112"/>
      <c r="K11" s="112"/>
      <c r="L11" s="6"/>
    </row>
    <row r="12" spans="2:17">
      <c r="B12" s="265" t="s">
        <v>145</v>
      </c>
      <c r="C12" s="512">
        <f>'BW2-Field Act. Labor &amp; Mach.'!I9</f>
        <v>9.23447</v>
      </c>
      <c r="D12" s="520">
        <f>'BW2-Field Act. Labor &amp; Mach.'!K9</f>
        <v>7.1626812745625896</v>
      </c>
      <c r="E12" s="520">
        <f>'BW2-Field Act. Labor &amp; Mach.'!L9</f>
        <v>6.5697668891297312</v>
      </c>
      <c r="F12" s="526"/>
      <c r="G12" s="86"/>
      <c r="H12" s="470"/>
      <c r="I12" s="6"/>
      <c r="J12" s="7"/>
      <c r="K12" s="6"/>
      <c r="L12" s="6"/>
    </row>
    <row r="13" spans="2:17">
      <c r="B13" s="132" t="s">
        <v>46</v>
      </c>
      <c r="C13" s="512">
        <f>'BW2-Field Act. Labor &amp; Mach.'!I10</f>
        <v>11.87289</v>
      </c>
      <c r="D13" s="520">
        <f>'BW2-Field Act. Labor &amp; Mach.'!K10</f>
        <v>16.900081383311999</v>
      </c>
      <c r="E13" s="520">
        <f>'BW2-Field Act. Labor &amp; Mach.'!L10</f>
        <v>23.703168100043012</v>
      </c>
      <c r="F13" s="526"/>
      <c r="G13" s="86"/>
      <c r="H13" s="470"/>
      <c r="I13" s="6"/>
      <c r="J13" s="7"/>
      <c r="K13" s="6"/>
      <c r="L13" s="6"/>
    </row>
    <row r="14" spans="2:17">
      <c r="B14" s="151" t="s">
        <v>69</v>
      </c>
      <c r="C14" s="512"/>
      <c r="D14" s="520"/>
      <c r="E14" s="520"/>
      <c r="F14" s="526">
        <f>'BW3-Variable Input'!C9</f>
        <v>116.66666666666667</v>
      </c>
      <c r="G14" s="86"/>
      <c r="H14" s="470"/>
      <c r="I14" s="6"/>
      <c r="J14" s="7"/>
      <c r="K14" s="6"/>
      <c r="L14" s="6"/>
    </row>
    <row r="15" spans="2:17">
      <c r="B15" s="10" t="s">
        <v>11</v>
      </c>
      <c r="C15" s="512">
        <f>'BW2-Field Act. Labor &amp; Mach.'!I13</f>
        <v>22.426569999999998</v>
      </c>
      <c r="D15" s="520">
        <f>'BW2-Field Act. Labor &amp; Mach.'!K13</f>
        <v>17.993866831056</v>
      </c>
      <c r="E15" s="520">
        <f>'BW2-Field Act. Labor &amp; Mach.'!L13</f>
        <v>44.771770188886023</v>
      </c>
      <c r="F15" s="538"/>
      <c r="G15" s="86"/>
      <c r="H15" s="471"/>
      <c r="I15" s="6"/>
      <c r="J15" s="7"/>
      <c r="K15" s="6"/>
      <c r="L15" s="6"/>
    </row>
    <row r="16" spans="2:17">
      <c r="B16" s="10" t="s">
        <v>12</v>
      </c>
      <c r="C16" s="532"/>
      <c r="D16" s="535">
        <f>'BW2-Field Act. Labor &amp; Mach.'!K14</f>
        <v>9.2140341759999984</v>
      </c>
      <c r="E16" s="535">
        <f>'BW2-Field Act. Labor &amp; Mach.'!L14</f>
        <v>29.935417361494395</v>
      </c>
      <c r="F16" s="538"/>
      <c r="G16" s="86"/>
      <c r="H16" s="471"/>
      <c r="I16" s="6"/>
      <c r="J16" s="6"/>
      <c r="K16" s="6"/>
      <c r="L16" s="6"/>
    </row>
    <row r="17" spans="2:12">
      <c r="B17" s="10" t="s">
        <v>13</v>
      </c>
      <c r="C17" s="532">
        <f>'BW2-Field Act. Labor &amp; Mach.'!I17</f>
        <v>72.556550000000001</v>
      </c>
      <c r="D17" s="535">
        <f>'BW2-Field Act. Labor &amp; Mach.'!K17</f>
        <v>18.413226025968029</v>
      </c>
      <c r="E17" s="535">
        <f>'BW2-Field Act. Labor &amp; Mach.'!L17</f>
        <v>38.951406687324337</v>
      </c>
      <c r="F17" s="538"/>
      <c r="G17" s="86"/>
      <c r="H17" s="471"/>
      <c r="I17" s="6"/>
      <c r="J17" s="6"/>
      <c r="K17" s="6"/>
      <c r="L17" s="6"/>
    </row>
    <row r="18" spans="2:12">
      <c r="B18" s="151" t="str">
        <f>'BW3-Variable Input'!$B$19</f>
        <v>Plastic mulch for 84" bed spacing</v>
      </c>
      <c r="C18" s="532"/>
      <c r="D18" s="535"/>
      <c r="E18" s="535"/>
      <c r="F18" s="526">
        <f>'BW3-Variable Input'!C19*(6/7)</f>
        <v>66.673469387755091</v>
      </c>
      <c r="G18" s="86"/>
      <c r="H18" s="471"/>
      <c r="I18" s="7"/>
      <c r="J18" s="6"/>
      <c r="K18" s="6"/>
      <c r="L18" s="6"/>
    </row>
    <row r="19" spans="2:12">
      <c r="B19" s="151" t="s">
        <v>313</v>
      </c>
      <c r="C19" s="532"/>
      <c r="D19" s="535"/>
      <c r="E19" s="535"/>
      <c r="F19" s="526">
        <f>'BW3-Variable Input'!C21*(6/7)</f>
        <v>29.04</v>
      </c>
      <c r="G19" s="86"/>
      <c r="H19" s="471"/>
      <c r="I19" s="7"/>
      <c r="J19" s="6"/>
      <c r="K19" s="6"/>
      <c r="L19" s="6"/>
    </row>
    <row r="20" spans="2:12">
      <c r="B20" s="418" t="s">
        <v>315</v>
      </c>
      <c r="C20" s="533"/>
      <c r="D20" s="536"/>
      <c r="E20" s="536"/>
      <c r="F20" s="527">
        <f>'BW3-Variable Input'!C11*(6/7)</f>
        <v>159.42857142857142</v>
      </c>
      <c r="G20" s="488"/>
      <c r="H20" s="484"/>
      <c r="I20" s="7"/>
      <c r="J20" s="6"/>
      <c r="K20" s="6"/>
      <c r="L20" s="6"/>
    </row>
    <row r="21" spans="2:12">
      <c r="B21" s="10"/>
      <c r="C21" s="86"/>
      <c r="D21" s="86"/>
      <c r="E21" s="86"/>
      <c r="F21" s="86"/>
      <c r="G21" s="86"/>
      <c r="H21" s="467"/>
      <c r="I21" s="6"/>
      <c r="J21" s="6"/>
      <c r="K21" s="6"/>
      <c r="L21" s="6"/>
    </row>
    <row r="22" spans="2:12">
      <c r="B22" s="1003" t="s">
        <v>10</v>
      </c>
      <c r="C22" s="534"/>
      <c r="D22" s="537"/>
      <c r="E22" s="537"/>
      <c r="F22" s="539"/>
      <c r="G22" s="501"/>
      <c r="H22" s="502"/>
      <c r="I22" s="6"/>
      <c r="J22" s="6"/>
      <c r="K22" s="6"/>
      <c r="L22" s="6"/>
    </row>
    <row r="23" spans="2:12">
      <c r="B23" s="10" t="str">
        <f>'BW2-Field Act. Labor &amp; Mach.'!B22</f>
        <v>Transplant on plastic mulch</v>
      </c>
      <c r="C23" s="532">
        <f>'BW2-Field Act. Labor &amp; Mach.'!I22</f>
        <v>131.92099999999999</v>
      </c>
      <c r="D23" s="535">
        <f>'BW2-Field Act. Labor &amp; Mach.'!K22</f>
        <v>36.302136438428491</v>
      </c>
      <c r="E23" s="535">
        <f>'BW2-Field Act. Labor &amp; Mach.'!L22</f>
        <v>41.509045695666089</v>
      </c>
      <c r="F23" s="538"/>
      <c r="G23" s="86"/>
      <c r="H23" s="471"/>
      <c r="I23" s="6"/>
      <c r="J23" s="6"/>
      <c r="K23" s="6"/>
      <c r="L23" s="6"/>
    </row>
    <row r="24" spans="2:12">
      <c r="B24" s="151" t="s">
        <v>685</v>
      </c>
      <c r="C24" s="532"/>
      <c r="D24" s="535"/>
      <c r="E24" s="535"/>
      <c r="F24" s="538">
        <f>'BW4-Transplant Production'!F24</f>
        <v>77.377685000000014</v>
      </c>
      <c r="G24" s="1029" t="s">
        <v>720</v>
      </c>
      <c r="H24" s="470"/>
      <c r="I24" s="6"/>
      <c r="J24" s="6"/>
      <c r="K24" s="6"/>
      <c r="L24" s="6"/>
    </row>
    <row r="25" spans="2:12">
      <c r="B25" s="151" t="s">
        <v>459</v>
      </c>
      <c r="C25" s="532">
        <f>'BW4-Transplant Production'!D24</f>
        <v>294.85101567888893</v>
      </c>
      <c r="D25" s="535"/>
      <c r="E25" s="535"/>
      <c r="F25" s="538">
        <f>'BW4-Transplant Production'!J51</f>
        <v>152.33297446965221</v>
      </c>
      <c r="G25" s="1029" t="s">
        <v>720</v>
      </c>
      <c r="H25" s="470"/>
      <c r="I25" s="6"/>
      <c r="J25" s="6"/>
      <c r="K25" s="6"/>
      <c r="L25" s="6"/>
    </row>
    <row r="26" spans="2:12">
      <c r="B26" s="436" t="str">
        <f>'BW2-Field Act. Labor &amp; Mach.'!B25</f>
        <v>Seed living mulch between plastic beds</v>
      </c>
      <c r="C26" s="532">
        <f>'BW2-Field Act. Labor &amp; Mach.'!I25</f>
        <v>26.3842</v>
      </c>
      <c r="D26" s="535">
        <f>'BW2-Field Act. Labor &amp; Mach.'!K25</f>
        <v>1.5835499999999998</v>
      </c>
      <c r="E26" s="535">
        <f>'BW2-Field Act. Labor &amp; Mach.'!L25</f>
        <v>5.5640243902439019</v>
      </c>
      <c r="F26" s="538"/>
      <c r="G26" s="462"/>
      <c r="H26" s="471"/>
      <c r="I26" s="6"/>
      <c r="J26" s="6"/>
      <c r="K26" s="6"/>
      <c r="L26" s="6"/>
    </row>
    <row r="27" spans="2:12">
      <c r="B27" s="490" t="str">
        <f>'BW3-Variable Input'!B35</f>
        <v>Living mulch seed</v>
      </c>
      <c r="C27" s="518"/>
      <c r="D27" s="524"/>
      <c r="E27" s="524"/>
      <c r="F27" s="531">
        <v>79.87</v>
      </c>
      <c r="G27" s="488"/>
      <c r="H27" s="484"/>
      <c r="I27" s="6"/>
      <c r="J27" s="6"/>
      <c r="K27" s="6"/>
      <c r="L27" s="6"/>
    </row>
    <row r="28" spans="2:12">
      <c r="B28" s="12"/>
      <c r="C28" s="467"/>
      <c r="D28" s="467"/>
      <c r="E28" s="467"/>
      <c r="F28" s="467"/>
      <c r="G28" s="86"/>
      <c r="H28" s="467"/>
      <c r="I28" s="6"/>
      <c r="J28" s="6"/>
      <c r="K28" s="6"/>
      <c r="L28" s="6"/>
    </row>
    <row r="29" spans="2:12">
      <c r="B29" s="1003" t="s">
        <v>37</v>
      </c>
      <c r="C29" s="534"/>
      <c r="D29" s="537"/>
      <c r="E29" s="537"/>
      <c r="F29" s="539"/>
      <c r="G29" s="501"/>
      <c r="H29" s="502"/>
      <c r="I29" s="6"/>
      <c r="J29" s="6"/>
      <c r="K29" s="6"/>
      <c r="L29" s="6"/>
    </row>
    <row r="30" spans="2:12">
      <c r="B30" s="462" t="s">
        <v>179</v>
      </c>
      <c r="C30" s="512">
        <f>'BW2-Field Act. Labor &amp; Mach.'!$I$31*2</f>
        <v>10.55368</v>
      </c>
      <c r="D30" s="520">
        <f>'BW2-Field Act. Labor &amp; Mach.'!K31*2</f>
        <v>1.6570295666513035</v>
      </c>
      <c r="E30" s="520">
        <f>'BW2-Field Act. Labor &amp; Mach.'!L31*2</f>
        <v>27.363002680965153</v>
      </c>
      <c r="F30" s="538"/>
      <c r="G30" s="86"/>
      <c r="H30" s="86"/>
      <c r="I30" s="6"/>
      <c r="J30" s="6"/>
      <c r="K30" s="6"/>
      <c r="L30" s="6"/>
    </row>
    <row r="31" spans="2:12">
      <c r="B31" s="151" t="str">
        <f>'BW5-Irrigation'!$B$8</f>
        <v>Irrigation supply cost</v>
      </c>
      <c r="C31" s="512"/>
      <c r="D31" s="520"/>
      <c r="E31" s="520"/>
      <c r="F31" s="526">
        <f>'BW5-Irrigation'!$E$8</f>
        <v>32.773534158149545</v>
      </c>
      <c r="G31" s="1029" t="s">
        <v>851</v>
      </c>
      <c r="H31" s="471"/>
      <c r="I31" s="7"/>
      <c r="J31" s="6"/>
      <c r="K31" s="6"/>
      <c r="L31" s="6"/>
    </row>
    <row r="32" spans="2:12">
      <c r="B32" s="132" t="str">
        <f>'BW5-Irrigation'!$B$9</f>
        <v>Irrigation set-up labor cost</v>
      </c>
      <c r="C32" s="512">
        <f>'BW5-Irrigation'!$E$9</f>
        <v>50.735370890410955</v>
      </c>
      <c r="D32" s="520"/>
      <c r="E32" s="520"/>
      <c r="F32" s="526"/>
      <c r="G32" s="1029" t="s">
        <v>851</v>
      </c>
      <c r="H32" s="471"/>
      <c r="I32" s="7"/>
      <c r="J32" s="6"/>
      <c r="K32" s="6"/>
      <c r="L32" s="6"/>
    </row>
    <row r="33" spans="2:13">
      <c r="B33" s="10" t="s">
        <v>157</v>
      </c>
      <c r="C33" s="532">
        <f>'BW2-Field Act. Labor &amp; Mach.'!I39*'BW5-Irrigation'!C40</f>
        <v>189.96624</v>
      </c>
      <c r="D33" s="535"/>
      <c r="E33" s="535"/>
      <c r="F33" s="538"/>
      <c r="G33" s="86"/>
      <c r="H33" s="86"/>
      <c r="I33" s="6"/>
      <c r="J33" s="6"/>
      <c r="K33" s="6"/>
      <c r="L33" s="6"/>
    </row>
    <row r="34" spans="2:13">
      <c r="B34" s="132" t="s">
        <v>346</v>
      </c>
      <c r="C34" s="512">
        <f>'BW2-Field Act. Labor &amp; Mach.'!$I$30*2</f>
        <v>15.83052</v>
      </c>
      <c r="D34" s="520">
        <f>'BW2-Field Act. Labor &amp; Mach.'!K30*2</f>
        <v>3.8005199999999992</v>
      </c>
      <c r="E34" s="520">
        <f>'BW2-Field Act. Labor &amp; Mach.'!L30*2</f>
        <v>13.353658536585364</v>
      </c>
      <c r="F34" s="526"/>
      <c r="G34" s="462"/>
      <c r="H34" s="471"/>
      <c r="I34" s="7"/>
      <c r="J34" s="6"/>
      <c r="K34" s="6"/>
      <c r="L34" s="6"/>
    </row>
    <row r="35" spans="2:13">
      <c r="B35" s="10" t="s">
        <v>142</v>
      </c>
      <c r="C35" s="532">
        <f>'BW2-Field Act. Labor &amp; Mach.'!I49</f>
        <v>184.68940000000001</v>
      </c>
      <c r="D35" s="535">
        <f>'BW2-Field Act. Labor &amp; Mach.'!K49</f>
        <v>5.6792833599999994</v>
      </c>
      <c r="E35" s="535">
        <f>'BW2-Field Act. Labor &amp; Mach.'!L49</f>
        <v>4.8213885683253004</v>
      </c>
      <c r="F35" s="538"/>
      <c r="G35" s="86"/>
      <c r="H35" s="471"/>
      <c r="I35" s="6"/>
      <c r="J35" s="6"/>
      <c r="K35" s="6"/>
      <c r="L35" s="6"/>
    </row>
    <row r="36" spans="2:13">
      <c r="B36" s="437" t="s">
        <v>460</v>
      </c>
      <c r="C36" s="532"/>
      <c r="D36" s="535"/>
      <c r="E36" s="535"/>
      <c r="F36" s="538">
        <f>'BW3-Variable Input'!C30</f>
        <v>105.57250000000002</v>
      </c>
      <c r="G36" s="86"/>
      <c r="H36" s="471"/>
      <c r="I36" s="6"/>
      <c r="J36" s="6"/>
      <c r="K36" s="6"/>
      <c r="L36" s="6"/>
    </row>
    <row r="37" spans="2:13">
      <c r="B37" s="10" t="s">
        <v>353</v>
      </c>
      <c r="C37" s="532">
        <f>'BW2-Field Act. Labor &amp; Mach.'!I50</f>
        <v>184.68940000000001</v>
      </c>
      <c r="D37" s="535"/>
      <c r="E37" s="535"/>
      <c r="F37" s="538"/>
      <c r="G37" s="86"/>
      <c r="H37" s="471"/>
      <c r="I37" s="6"/>
      <c r="J37" s="6"/>
      <c r="K37" s="6"/>
      <c r="L37" s="6"/>
    </row>
    <row r="38" spans="2:13">
      <c r="B38" s="10" t="s">
        <v>39</v>
      </c>
      <c r="C38" s="532">
        <f>'BW2-Field Act. Labor &amp; Mach.'!I51*8</f>
        <v>527.68399999999997</v>
      </c>
      <c r="D38" s="535"/>
      <c r="E38" s="535"/>
      <c r="F38" s="538"/>
      <c r="G38" s="86"/>
      <c r="H38" s="471"/>
      <c r="I38" s="6"/>
      <c r="J38" s="6"/>
      <c r="K38" s="6"/>
      <c r="L38" s="6"/>
    </row>
    <row r="39" spans="2:13">
      <c r="B39" s="12" t="s">
        <v>461</v>
      </c>
      <c r="C39" s="532"/>
      <c r="D39" s="535"/>
      <c r="E39" s="535"/>
      <c r="F39" s="538">
        <f>'BW3-Variable Input'!C29</f>
        <v>29.961904761904766</v>
      </c>
      <c r="G39" s="86"/>
      <c r="H39" s="471"/>
      <c r="I39" s="6"/>
      <c r="J39" s="6"/>
      <c r="K39" s="6"/>
      <c r="L39" s="6"/>
    </row>
    <row r="40" spans="2:13">
      <c r="B40" s="10" t="s">
        <v>159</v>
      </c>
      <c r="C40" s="532">
        <f>'BW2-Field Act. Labor &amp; Mach.'!I33*3</f>
        <v>31.66104</v>
      </c>
      <c r="D40" s="535">
        <f>'BW2-Field Act. Labor &amp; Mach.'!K33*3</f>
        <v>14.904</v>
      </c>
      <c r="E40" s="535">
        <f>'BW2-Field Act. Labor &amp; Mach.'!L33*3</f>
        <v>66.625647668393796</v>
      </c>
      <c r="F40" s="538"/>
      <c r="G40" s="86"/>
      <c r="H40" s="471"/>
      <c r="I40" s="6"/>
      <c r="J40" s="6"/>
      <c r="K40" s="6"/>
      <c r="L40" s="6"/>
    </row>
    <row r="41" spans="2:13">
      <c r="B41" s="265" t="str">
        <f>'BW2-Field Act. Labor &amp; Mach.'!$B$35</f>
        <v>Handweed plastic mulch holes</v>
      </c>
      <c r="C41" s="512">
        <f>'BW2-Field Act. Labor &amp; Mach.'!$I$35</f>
        <v>65.960499999999996</v>
      </c>
      <c r="D41" s="520"/>
      <c r="E41" s="520"/>
      <c r="F41" s="526"/>
      <c r="G41" s="86"/>
      <c r="H41" s="471"/>
      <c r="I41" s="6"/>
      <c r="J41" s="6"/>
      <c r="K41" s="6"/>
      <c r="L41" s="6"/>
    </row>
    <row r="42" spans="2:13">
      <c r="B42" s="10" t="s">
        <v>330</v>
      </c>
      <c r="C42" s="532">
        <f>'BW2-Field Act. Labor &amp; Mach.'!I37*6</f>
        <v>79.152600000000007</v>
      </c>
      <c r="D42" s="535">
        <f>'BW2-Field Act. Labor &amp; Mach.'!K37*6</f>
        <v>61.093329871560194</v>
      </c>
      <c r="E42" s="535">
        <f>'BW2-Field Act. Labor &amp; Mach.'!L37*6</f>
        <v>78.629598593556494</v>
      </c>
      <c r="F42" s="538"/>
      <c r="G42" s="86"/>
      <c r="H42" s="471"/>
      <c r="I42" s="6"/>
      <c r="J42" s="6"/>
      <c r="K42" s="6"/>
      <c r="L42" s="6"/>
    </row>
    <row r="43" spans="2:13">
      <c r="B43" s="414" t="s">
        <v>501</v>
      </c>
      <c r="C43" s="532"/>
      <c r="D43" s="535"/>
      <c r="E43" s="535"/>
      <c r="F43" s="538">
        <f>'BW3-Variable Input'!C64</f>
        <v>87.988782585470062</v>
      </c>
      <c r="G43" s="86"/>
      <c r="H43" s="86"/>
      <c r="I43" s="6"/>
      <c r="J43" s="6"/>
      <c r="K43" s="6"/>
      <c r="L43" s="6"/>
    </row>
    <row r="44" spans="2:13">
      <c r="B44" s="10" t="s">
        <v>300</v>
      </c>
      <c r="C44" s="532">
        <f>'BW2-Field Act. Labor &amp; Mach.'!$I$40*('BW5-Irrigation'!D40+'BW5-Irrigation'!E40)</f>
        <v>68.598920000000007</v>
      </c>
      <c r="D44" s="535">
        <f>'BW2-Field Act. Labor &amp; Mach.'!K40*('BW5-Irrigation'!C40+'BW5-Irrigation'!D40+'BW5-Irrigation'!E40)</f>
        <v>200.75209864810392</v>
      </c>
      <c r="E44" s="535">
        <f>'BW2-Field Act. Labor &amp; Mach.'!L40*('BW5-Irrigation'!C40+'BW5-Irrigation'!D40+'BW5-Irrigation'!E40)</f>
        <v>260.82623524422138</v>
      </c>
      <c r="F44" s="538"/>
      <c r="H44" s="479"/>
    </row>
    <row r="45" spans="2:13">
      <c r="B45" s="481" t="s">
        <v>611</v>
      </c>
      <c r="C45" s="532"/>
      <c r="D45" s="535"/>
      <c r="E45" s="535"/>
      <c r="F45" s="538">
        <f>'BW3-Variable Input'!$C$14*'BW5-Irrigation'!D40</f>
        <v>72</v>
      </c>
      <c r="G45" s="1029" t="s">
        <v>851</v>
      </c>
      <c r="H45" s="479"/>
    </row>
    <row r="46" spans="2:13">
      <c r="B46" s="12" t="s">
        <v>612</v>
      </c>
      <c r="C46" s="532"/>
      <c r="D46" s="535"/>
      <c r="E46" s="535"/>
      <c r="F46" s="538">
        <f>'BW3-Variable Input'!$C$15*'BW5-Irrigation'!E40</f>
        <v>34</v>
      </c>
      <c r="G46" s="1029" t="s">
        <v>851</v>
      </c>
      <c r="H46" s="479"/>
    </row>
    <row r="47" spans="2:13">
      <c r="B47" s="490" t="s">
        <v>613</v>
      </c>
      <c r="C47" s="518"/>
      <c r="D47" s="524"/>
      <c r="E47" s="524"/>
      <c r="F47" s="531">
        <f>'BW3-Variable Input'!$C$16*'BW5-Irrigation'!F40</f>
        <v>19.5</v>
      </c>
      <c r="G47" s="1030" t="s">
        <v>851</v>
      </c>
      <c r="H47" s="541"/>
    </row>
    <row r="48" spans="2:13" s="454" customFormat="1">
      <c r="B48" s="817" t="s">
        <v>508</v>
      </c>
      <c r="C48" s="60">
        <f>SUM(C12:C20, C23:C27, C30:C47)</f>
        <v>1978.7683665692998</v>
      </c>
      <c r="D48" s="60">
        <f>SUM(D12:D20, D23:D27, D30:D47)</f>
        <v>395.45583757564253</v>
      </c>
      <c r="E48" s="60">
        <f>SUM(E12:E20, E23:E27, E30:E47)</f>
        <v>642.62413060483493</v>
      </c>
      <c r="F48" s="60">
        <f>SUM(F12:F20, F23:F27, F30:F47)</f>
        <v>1063.1860884581697</v>
      </c>
      <c r="G48" s="1005" t="s">
        <v>4</v>
      </c>
      <c r="H48" s="597">
        <f>SUM(C48:F48)</f>
        <v>4080.0344232079469</v>
      </c>
      <c r="I48" s="496"/>
      <c r="J48" s="496"/>
      <c r="K48" s="496"/>
      <c r="L48" s="496"/>
      <c r="M48" s="497"/>
    </row>
    <row r="49" spans="2:13" s="120" customFormat="1" ht="15" customHeight="1">
      <c r="B49" s="593"/>
      <c r="C49" s="133"/>
      <c r="D49" s="133"/>
      <c r="E49" s="133"/>
      <c r="F49" s="133"/>
      <c r="G49" s="924"/>
      <c r="H49" s="265"/>
    </row>
    <row r="50" spans="2:13" s="119" customFormat="1" ht="15" customHeight="1">
      <c r="B50" s="116" t="s">
        <v>914</v>
      </c>
      <c r="C50" s="133"/>
      <c r="D50" s="133"/>
      <c r="E50" s="133"/>
      <c r="F50" s="133"/>
      <c r="G50" s="924"/>
      <c r="H50" s="265"/>
    </row>
    <row r="51" spans="2:13">
      <c r="B51" s="1003" t="s">
        <v>3</v>
      </c>
      <c r="C51" s="1006"/>
      <c r="D51" s="1007"/>
      <c r="E51" s="1007"/>
      <c r="F51" s="1008"/>
      <c r="G51" s="1009"/>
      <c r="H51" s="495"/>
      <c r="I51" s="13"/>
      <c r="J51" s="13"/>
      <c r="K51" s="13"/>
      <c r="L51" s="13"/>
      <c r="M51" s="11"/>
    </row>
    <row r="52" spans="2:13">
      <c r="B52" s="10" t="s">
        <v>187</v>
      </c>
      <c r="C52" s="532">
        <f>('BW6-Harvest and Wash-Pack'!D35*'BW6-Harvest and Wash-Pack'!G35)+('BW2-Field Act. Labor &amp; Mach.'!I54*'BW6-Harvest and Wash-Pack'!G35)</f>
        <v>2216.2727999999997</v>
      </c>
      <c r="D52" s="535">
        <f>'BW2-Field Act. Labor &amp; Mach.'!K54*'BW6-Harvest and Wash-Pack'!G35</f>
        <v>2.1255781619961658</v>
      </c>
      <c r="E52" s="535">
        <f>'BW2-Field Act. Labor &amp; Mach.'!L54*'BW6-Harvest and Wash-Pack'!G35</f>
        <v>11.761363636363635</v>
      </c>
      <c r="F52" s="538"/>
      <c r="G52" s="1029" t="s">
        <v>852</v>
      </c>
      <c r="H52" s="10"/>
      <c r="I52" s="16"/>
      <c r="J52" s="16"/>
      <c r="K52" s="16"/>
      <c r="L52" s="16"/>
      <c r="M52" s="11"/>
    </row>
    <row r="53" spans="2:13">
      <c r="B53" s="10" t="s">
        <v>365</v>
      </c>
      <c r="C53" s="532">
        <f>'BW6-Harvest and Wash-Pack'!F35*('BW6-Harvest and Wash-Pack'!G35/2)</f>
        <v>1055.3679999999999</v>
      </c>
      <c r="D53" s="535"/>
      <c r="E53" s="535"/>
      <c r="F53" s="538"/>
      <c r="G53" s="1029" t="s">
        <v>852</v>
      </c>
      <c r="H53" s="462"/>
      <c r="I53" s="16"/>
      <c r="J53" s="16"/>
      <c r="K53" s="16"/>
      <c r="L53" s="16"/>
      <c r="M53" s="11"/>
    </row>
    <row r="54" spans="2:13">
      <c r="B54" s="490" t="s">
        <v>102</v>
      </c>
      <c r="C54" s="533"/>
      <c r="D54" s="536"/>
      <c r="E54" s="536"/>
      <c r="F54" s="540">
        <f>'BW3-Variable Input'!C71</f>
        <v>108</v>
      </c>
      <c r="G54" s="484"/>
      <c r="H54" s="484"/>
      <c r="I54" s="16"/>
      <c r="J54" s="16"/>
      <c r="K54" s="16"/>
      <c r="L54" s="16"/>
      <c r="M54" s="11"/>
    </row>
    <row r="55" spans="2:13" s="454" customFormat="1">
      <c r="B55" s="817" t="s">
        <v>508</v>
      </c>
      <c r="C55" s="60">
        <f>SUM(C52:C54)</f>
        <v>3271.6407999999997</v>
      </c>
      <c r="D55" s="60">
        <f>SUM(D52:D54)</f>
        <v>2.1255781619961658</v>
      </c>
      <c r="E55" s="60">
        <f>SUM(E52:E54)</f>
        <v>11.761363636363635</v>
      </c>
      <c r="F55" s="60">
        <f>SUM(F52:F54)</f>
        <v>108</v>
      </c>
      <c r="G55" s="1005" t="s">
        <v>4</v>
      </c>
      <c r="H55" s="597">
        <f>SUM(C55:F55)</f>
        <v>3393.5277417983593</v>
      </c>
      <c r="I55" s="496"/>
      <c r="J55" s="496"/>
      <c r="K55" s="496"/>
      <c r="L55" s="496"/>
      <c r="M55" s="497"/>
    </row>
    <row r="56" spans="2:13" s="120" customFormat="1" ht="15" customHeight="1">
      <c r="B56" s="593"/>
      <c r="C56" s="133"/>
      <c r="D56" s="133"/>
      <c r="E56" s="133"/>
      <c r="F56" s="133"/>
      <c r="G56" s="924"/>
      <c r="H56" s="265"/>
    </row>
    <row r="57" spans="2:13" s="119" customFormat="1" ht="15" customHeight="1">
      <c r="B57" s="116" t="s">
        <v>662</v>
      </c>
      <c r="C57" s="133"/>
      <c r="D57" s="133"/>
      <c r="E57" s="133"/>
      <c r="F57" s="133"/>
      <c r="G57" s="924"/>
      <c r="H57" s="265"/>
    </row>
    <row r="58" spans="2:13">
      <c r="B58" s="921" t="s">
        <v>663</v>
      </c>
      <c r="C58" s="534"/>
      <c r="D58" s="537"/>
      <c r="E58" s="537"/>
      <c r="F58" s="539"/>
      <c r="G58" s="502"/>
      <c r="H58" s="502"/>
      <c r="I58" s="16"/>
      <c r="J58" s="16"/>
      <c r="K58" s="16"/>
      <c r="L58" s="16"/>
      <c r="M58" s="11"/>
    </row>
    <row r="59" spans="2:13">
      <c r="B59" s="10" t="s">
        <v>40</v>
      </c>
      <c r="C59" s="532">
        <f>'BW2-Field Act. Labor &amp; Mach.'!I71</f>
        <v>113.45205999999999</v>
      </c>
      <c r="D59" s="535"/>
      <c r="E59" s="535"/>
      <c r="F59" s="538"/>
      <c r="G59" s="471"/>
      <c r="H59" s="471"/>
      <c r="I59" s="16"/>
      <c r="J59" s="16"/>
      <c r="K59" s="16"/>
      <c r="L59" s="16"/>
      <c r="M59" s="11"/>
    </row>
    <row r="60" spans="2:13">
      <c r="B60" s="10" t="s">
        <v>41</v>
      </c>
      <c r="C60" s="532">
        <f>'BW2-Field Act. Labor &amp; Mach.'!I72</f>
        <v>79.152600000000007</v>
      </c>
      <c r="D60" s="535">
        <f>'BW2-Field Act. Labor &amp; Mach.'!K72</f>
        <v>12.494423392</v>
      </c>
      <c r="E60" s="535">
        <f>'BW2-Field Act. Labor &amp; Mach.'!L72</f>
        <v>10.607054850315661</v>
      </c>
      <c r="F60" s="538"/>
      <c r="G60" s="471"/>
      <c r="H60" s="471"/>
      <c r="I60" s="16"/>
      <c r="J60" s="16"/>
      <c r="K60" s="16"/>
      <c r="L60" s="16"/>
      <c r="M60" s="11"/>
    </row>
    <row r="61" spans="2:13">
      <c r="B61" s="132" t="s">
        <v>42</v>
      </c>
      <c r="C61" s="512">
        <f>'BW2-Field Act. Labor &amp; Mach.'!$I$62</f>
        <v>10.55368</v>
      </c>
      <c r="D61" s="520">
        <f>'BW2-Field Act. Labor &amp; Mach.'!K62</f>
        <v>8.1859214566429603</v>
      </c>
      <c r="E61" s="520">
        <f>'BW2-Field Act. Labor &amp; Mach.'!L62</f>
        <v>7.508305016148265</v>
      </c>
      <c r="F61" s="526"/>
      <c r="G61" s="471"/>
      <c r="H61" s="471"/>
      <c r="I61" s="16"/>
      <c r="J61" s="16"/>
      <c r="K61" s="16"/>
      <c r="L61" s="16"/>
      <c r="M61" s="11"/>
    </row>
    <row r="62" spans="2:13">
      <c r="B62" s="132" t="s">
        <v>149</v>
      </c>
      <c r="C62" s="512">
        <f>'BW2-Field Act. Labor &amp; Mach.'!$I$63</f>
        <v>7.91526</v>
      </c>
      <c r="D62" s="520">
        <f>'BW2-Field Act. Labor &amp; Mach.'!K63</f>
        <v>6.9413678434651436</v>
      </c>
      <c r="E62" s="520">
        <f>'BW2-Field Act. Labor &amp; Mach.'!L63</f>
        <v>14.062451996276074</v>
      </c>
      <c r="F62" s="526"/>
      <c r="G62" s="471"/>
      <c r="H62" s="471"/>
      <c r="I62" s="16"/>
      <c r="J62" s="16"/>
      <c r="K62" s="16"/>
      <c r="L62" s="16"/>
      <c r="M62" s="11"/>
    </row>
    <row r="63" spans="2:13">
      <c r="B63" s="132" t="s">
        <v>158</v>
      </c>
      <c r="C63" s="512">
        <f>'BW2-Field Act. Labor &amp; Mach.'!$I$64</f>
        <v>26.3842</v>
      </c>
      <c r="D63" s="520">
        <f>'BW2-Field Act. Labor &amp; Mach.'!K64</f>
        <v>4.5434266879999994</v>
      </c>
      <c r="E63" s="520">
        <f>'BW2-Field Act. Labor &amp; Mach.'!L64</f>
        <v>3.8571108546602404</v>
      </c>
      <c r="F63" s="526"/>
      <c r="G63" s="471"/>
      <c r="H63" s="471"/>
      <c r="I63" s="16"/>
      <c r="J63" s="16"/>
      <c r="K63" s="16"/>
      <c r="L63" s="16"/>
      <c r="M63" s="11"/>
    </row>
    <row r="64" spans="2:13">
      <c r="B64" s="132" t="s">
        <v>43</v>
      </c>
      <c r="C64" s="512">
        <f>'BW2-Field Act. Labor &amp; Mach.'!$I$66</f>
        <v>5.27684</v>
      </c>
      <c r="D64" s="520">
        <f>'BW2-Field Act. Labor &amp; Mach.'!K66</f>
        <v>4.7393418269465482</v>
      </c>
      <c r="E64" s="520">
        <f>'BW2-Field Act. Labor &amp; Mach.'!L66</f>
        <v>4.8215303303156709</v>
      </c>
      <c r="F64" s="526"/>
      <c r="G64" s="471"/>
      <c r="H64" s="471"/>
      <c r="I64" s="16"/>
      <c r="J64" s="16"/>
      <c r="K64" s="16"/>
      <c r="L64" s="16"/>
      <c r="M64" s="11"/>
    </row>
    <row r="65" spans="2:13">
      <c r="B65" s="132" t="s">
        <v>44</v>
      </c>
      <c r="C65" s="512">
        <f>'BW2-Field Act. Labor &amp; Mach.'!$I$67</f>
        <v>5.27684</v>
      </c>
      <c r="D65" s="520">
        <f>'BW2-Field Act. Labor &amp; Mach.'!K67</f>
        <v>4.5754035882945541</v>
      </c>
      <c r="E65" s="520">
        <f>'BW2-Field Act. Labor &amp; Mach.'!L67</f>
        <v>8.7882358546602415</v>
      </c>
      <c r="F65" s="526"/>
      <c r="G65" s="471"/>
      <c r="H65" s="471"/>
      <c r="I65" s="16"/>
      <c r="J65" s="16"/>
      <c r="K65" s="16"/>
      <c r="L65" s="16"/>
      <c r="M65" s="11"/>
    </row>
    <row r="66" spans="2:13">
      <c r="B66" s="132" t="s">
        <v>45</v>
      </c>
      <c r="C66" s="512">
        <f>'BW2-Field Act. Labor &amp; Mach.'!$I$69</f>
        <v>14.511310000000002</v>
      </c>
      <c r="D66" s="520">
        <f>'BW2-Field Act. Labor &amp; Mach.'!K69</f>
        <v>5.9046727740142977</v>
      </c>
      <c r="E66" s="520">
        <f>'BW2-Field Act. Labor &amp; Mach.'!L69</f>
        <v>8.041581086300118</v>
      </c>
      <c r="F66" s="526"/>
      <c r="G66" s="471"/>
      <c r="H66" s="471"/>
      <c r="I66" s="16"/>
      <c r="J66" s="16"/>
      <c r="K66" s="16"/>
      <c r="L66" s="16"/>
      <c r="M66" s="11"/>
    </row>
    <row r="67" spans="2:13">
      <c r="B67" s="500" t="str">
        <f>'BW3-Variable Input'!$B$33</f>
        <v>Winter cover crop seed</v>
      </c>
      <c r="C67" s="513"/>
      <c r="D67" s="521"/>
      <c r="E67" s="521"/>
      <c r="F67" s="527">
        <f>'BW3-Variable Input'!$C$33</f>
        <v>31.793452380952385</v>
      </c>
      <c r="G67" s="484"/>
      <c r="H67" s="484"/>
      <c r="I67" s="16"/>
      <c r="J67" s="16"/>
      <c r="K67" s="16"/>
      <c r="L67" s="16"/>
      <c r="M67" s="11"/>
    </row>
    <row r="68" spans="2:13" s="454" customFormat="1">
      <c r="B68" s="817" t="s">
        <v>508</v>
      </c>
      <c r="C68" s="60">
        <f>SUM(C59:C67)</f>
        <v>262.52278999999999</v>
      </c>
      <c r="D68" s="60">
        <f>SUM(D59:D67)</f>
        <v>47.384557569363508</v>
      </c>
      <c r="E68" s="60">
        <f>SUM(E59:E67)</f>
        <v>57.68626998867628</v>
      </c>
      <c r="F68" s="60">
        <f>SUM(F59:F67)</f>
        <v>31.793452380952385</v>
      </c>
      <c r="G68" s="596" t="s">
        <v>4</v>
      </c>
      <c r="H68" s="597">
        <f>SUM(C68:F68)</f>
        <v>399.38706993899211</v>
      </c>
      <c r="I68" s="498"/>
      <c r="J68" s="498"/>
      <c r="K68" s="498"/>
      <c r="L68" s="498"/>
      <c r="M68" s="497"/>
    </row>
    <row r="69" spans="2:13" s="81" customFormat="1">
      <c r="B69" s="593"/>
      <c r="C69" s="86"/>
      <c r="D69" s="86"/>
      <c r="E69" s="86"/>
      <c r="F69" s="86"/>
      <c r="G69" s="471"/>
      <c r="H69" s="471"/>
      <c r="I69" s="16"/>
      <c r="J69" s="16"/>
      <c r="K69" s="16"/>
      <c r="L69" s="16"/>
    </row>
    <row r="70" spans="2:13" s="454" customFormat="1">
      <c r="B70" s="116" t="s">
        <v>515</v>
      </c>
      <c r="C70" s="60">
        <f>C48+C55+C68</f>
        <v>5512.9319565692995</v>
      </c>
      <c r="D70" s="60">
        <f>D48+D55+D68</f>
        <v>444.96597330700217</v>
      </c>
      <c r="E70" s="60">
        <f>E48+E55+E68</f>
        <v>712.07176422987482</v>
      </c>
      <c r="F70" s="60">
        <f>F48+F55+F68</f>
        <v>1202.9795408391221</v>
      </c>
      <c r="G70" s="596" t="s">
        <v>4</v>
      </c>
      <c r="H70" s="597">
        <f>SUM(C70:F70)</f>
        <v>7872.9492349452985</v>
      </c>
      <c r="I70" s="498"/>
      <c r="J70" s="498"/>
      <c r="K70" s="498"/>
      <c r="L70" s="498"/>
      <c r="M70" s="497"/>
    </row>
    <row r="71" spans="2:13" s="454" customFormat="1">
      <c r="B71" s="116"/>
      <c r="C71" s="60"/>
      <c r="D71" s="60"/>
      <c r="E71" s="60"/>
      <c r="F71" s="60"/>
      <c r="G71" s="596"/>
      <c r="H71" s="597"/>
      <c r="I71" s="498"/>
      <c r="J71" s="498"/>
      <c r="K71" s="498"/>
      <c r="L71" s="498"/>
      <c r="M71" s="497"/>
    </row>
    <row r="72" spans="2:13" s="108" customFormat="1">
      <c r="B72" s="1032"/>
      <c r="C72" s="1033"/>
      <c r="D72" s="1033"/>
      <c r="E72" s="1033"/>
      <c r="F72" s="1033"/>
      <c r="G72" s="1033"/>
      <c r="H72" s="1033"/>
    </row>
    <row r="73" spans="2:13" s="454" customFormat="1">
      <c r="B73" s="116"/>
      <c r="C73" s="60"/>
      <c r="D73" s="60"/>
      <c r="E73" s="60"/>
      <c r="F73" s="60"/>
      <c r="G73" s="596"/>
      <c r="H73" s="597"/>
      <c r="I73" s="498"/>
      <c r="J73" s="498"/>
      <c r="K73" s="498"/>
      <c r="L73" s="498"/>
      <c r="M73" s="497"/>
    </row>
    <row r="74" spans="2:13">
      <c r="B74" s="116" t="s">
        <v>664</v>
      </c>
      <c r="C74" s="86"/>
      <c r="D74" s="86"/>
      <c r="E74" s="86"/>
      <c r="F74" s="86"/>
      <c r="G74" s="471"/>
      <c r="H74" s="471"/>
      <c r="I74" s="16"/>
      <c r="J74" s="16"/>
      <c r="K74" s="16"/>
      <c r="L74" s="16"/>
      <c r="M74" s="11"/>
    </row>
    <row r="75" spans="2:13">
      <c r="B75" s="985" t="s">
        <v>668</v>
      </c>
      <c r="C75" s="135"/>
      <c r="D75" s="135"/>
      <c r="E75" s="472"/>
      <c r="F75" s="135"/>
      <c r="G75" s="135"/>
      <c r="H75" s="990">
        <f>C48+C68</f>
        <v>2241.2911565692998</v>
      </c>
      <c r="I75" s="16"/>
      <c r="J75" s="16"/>
      <c r="K75" s="16"/>
      <c r="L75" s="11"/>
    </row>
    <row r="76" spans="2:13">
      <c r="B76" s="135" t="s">
        <v>667</v>
      </c>
      <c r="C76" s="135"/>
      <c r="D76" s="135"/>
      <c r="E76" s="135"/>
      <c r="F76" s="135"/>
      <c r="G76" s="135"/>
      <c r="H76" s="989">
        <f>D48+D68</f>
        <v>442.84039514500603</v>
      </c>
      <c r="I76" s="16"/>
      <c r="J76" s="16"/>
      <c r="K76" s="16"/>
      <c r="L76" s="11"/>
    </row>
    <row r="77" spans="2:13">
      <c r="B77" s="985" t="s">
        <v>669</v>
      </c>
      <c r="C77" s="135"/>
      <c r="D77" s="135"/>
      <c r="E77" s="472"/>
      <c r="F77" s="135"/>
      <c r="G77" s="135"/>
      <c r="H77" s="990">
        <f>F48+F68</f>
        <v>1094.9795408391221</v>
      </c>
      <c r="I77" s="16"/>
      <c r="J77" s="16"/>
      <c r="K77" s="16"/>
      <c r="L77" s="11"/>
    </row>
    <row r="78" spans="2:13">
      <c r="B78" s="831" t="s">
        <v>666</v>
      </c>
      <c r="C78" s="43"/>
      <c r="D78" s="43"/>
      <c r="E78" s="832"/>
      <c r="F78" s="43"/>
      <c r="G78" s="43"/>
      <c r="H78" s="60">
        <f>SUM(H75:H77)</f>
        <v>3779.1110925534276</v>
      </c>
      <c r="I78" s="16"/>
      <c r="J78" s="16"/>
      <c r="K78" s="16"/>
      <c r="L78" s="11"/>
    </row>
    <row r="79" spans="2:13">
      <c r="B79" s="985" t="s">
        <v>680</v>
      </c>
      <c r="C79" s="135"/>
      <c r="D79" s="135"/>
      <c r="E79" s="472"/>
      <c r="F79" s="135"/>
      <c r="G79" s="135"/>
      <c r="H79" s="86">
        <f>C55</f>
        <v>3271.6407999999997</v>
      </c>
      <c r="I79" s="16"/>
      <c r="J79" s="16"/>
      <c r="K79" s="16"/>
      <c r="L79" s="11"/>
    </row>
    <row r="80" spans="2:13">
      <c r="B80" s="985" t="s">
        <v>445</v>
      </c>
      <c r="C80" s="135"/>
      <c r="D80" s="135"/>
      <c r="E80" s="135"/>
      <c r="F80" s="135"/>
      <c r="G80" s="135"/>
      <c r="H80" s="989">
        <f>D55</f>
        <v>2.1255781619961658</v>
      </c>
      <c r="I80" s="16"/>
      <c r="J80" s="16"/>
      <c r="K80" s="16"/>
      <c r="L80" s="11"/>
    </row>
    <row r="81" spans="2:12">
      <c r="B81" s="985" t="s">
        <v>670</v>
      </c>
      <c r="C81" s="135"/>
      <c r="D81" s="135"/>
      <c r="E81" s="472"/>
      <c r="F81" s="135"/>
      <c r="G81" s="135"/>
      <c r="H81" s="86">
        <f>F55</f>
        <v>108</v>
      </c>
      <c r="I81" s="16"/>
      <c r="J81" s="16"/>
      <c r="K81" s="16"/>
      <c r="L81" s="11"/>
    </row>
    <row r="82" spans="2:12">
      <c r="B82" s="831" t="s">
        <v>671</v>
      </c>
      <c r="C82" s="43"/>
      <c r="D82" s="43"/>
      <c r="E82" s="832"/>
      <c r="F82" s="43"/>
      <c r="G82" s="43"/>
      <c r="H82" s="598">
        <f>C55+D55+F55</f>
        <v>3381.7663781619958</v>
      </c>
      <c r="I82" s="16"/>
      <c r="J82" s="16"/>
      <c r="K82" s="16"/>
      <c r="L82" s="11"/>
    </row>
    <row r="83" spans="2:12">
      <c r="B83" s="833" t="s">
        <v>513</v>
      </c>
      <c r="C83" s="919"/>
      <c r="D83" s="919"/>
      <c r="E83" s="987"/>
      <c r="F83" s="988"/>
      <c r="G83" s="919"/>
      <c r="H83" s="818">
        <f>H78+H82</f>
        <v>7160.8774707154234</v>
      </c>
      <c r="I83" s="16"/>
      <c r="J83" s="16"/>
      <c r="K83" s="16"/>
      <c r="L83" s="11"/>
    </row>
    <row r="84" spans="2:12">
      <c r="B84" s="985" t="s">
        <v>672</v>
      </c>
      <c r="C84" s="135"/>
      <c r="D84" s="135"/>
      <c r="E84" s="472"/>
      <c r="F84" s="135"/>
      <c r="G84" s="135"/>
      <c r="H84" s="989">
        <f>E48+E68</f>
        <v>700.31040059351119</v>
      </c>
      <c r="I84" s="16"/>
      <c r="J84" s="16"/>
      <c r="K84" s="16"/>
      <c r="L84" s="11"/>
    </row>
    <row r="85" spans="2:12">
      <c r="B85" s="985" t="s">
        <v>673</v>
      </c>
      <c r="C85" s="135"/>
      <c r="D85" s="135"/>
      <c r="E85" s="472"/>
      <c r="F85" s="135"/>
      <c r="G85" s="135"/>
      <c r="H85" s="990">
        <f>E55</f>
        <v>11.761363636363635</v>
      </c>
      <c r="I85" s="16"/>
      <c r="J85" s="16"/>
      <c r="K85" s="16"/>
      <c r="L85" s="11"/>
    </row>
    <row r="86" spans="2:12">
      <c r="B86" s="837" t="s">
        <v>514</v>
      </c>
      <c r="C86" s="919"/>
      <c r="D86" s="919"/>
      <c r="E86" s="987"/>
      <c r="F86" s="988"/>
      <c r="G86" s="919"/>
      <c r="H86" s="819">
        <f>H84+H85</f>
        <v>712.07176422987482</v>
      </c>
      <c r="I86" s="16"/>
      <c r="J86" s="16"/>
      <c r="K86" s="16"/>
      <c r="L86" s="11"/>
    </row>
    <row r="87" spans="2:12">
      <c r="B87" s="264"/>
      <c r="C87" s="472"/>
      <c r="D87" s="60"/>
      <c r="E87" s="472"/>
      <c r="F87" s="10"/>
      <c r="G87" s="132"/>
      <c r="H87" s="471"/>
      <c r="I87" s="16"/>
      <c r="J87" s="16"/>
      <c r="K87" s="16"/>
      <c r="L87" s="11"/>
    </row>
    <row r="88" spans="2:12">
      <c r="B88" s="87"/>
      <c r="C88" s="472"/>
      <c r="D88" s="86"/>
      <c r="E88" s="472"/>
      <c r="F88" s="10"/>
      <c r="G88" s="442"/>
      <c r="H88" s="473"/>
      <c r="I88" s="16"/>
      <c r="J88" s="16"/>
      <c r="K88" s="16"/>
      <c r="L88" s="11"/>
    </row>
    <row r="89" spans="2:12">
      <c r="B89" s="264"/>
      <c r="C89" s="472"/>
      <c r="D89" s="474"/>
      <c r="E89" s="472"/>
      <c r="F89" s="10"/>
      <c r="G89" s="132"/>
      <c r="H89" s="473"/>
      <c r="I89" s="16"/>
      <c r="J89" s="16"/>
      <c r="K89" s="16"/>
      <c r="L89" s="11"/>
    </row>
    <row r="90" spans="2:12">
      <c r="B90" s="10"/>
      <c r="C90" s="472"/>
      <c r="D90" s="472"/>
      <c r="E90" s="472"/>
      <c r="F90" s="10"/>
      <c r="G90" s="473"/>
      <c r="H90" s="473"/>
      <c r="I90" s="13"/>
      <c r="J90" s="13"/>
      <c r="K90" s="13"/>
      <c r="L90" s="11"/>
    </row>
    <row r="91" spans="2:12">
      <c r="B91" s="10"/>
      <c r="C91" s="10"/>
      <c r="D91" s="10"/>
      <c r="E91" s="10"/>
      <c r="F91" s="10"/>
      <c r="G91" s="473"/>
      <c r="H91" s="473"/>
      <c r="I91" s="13"/>
      <c r="J91" s="13"/>
      <c r="K91" s="13"/>
      <c r="L91" s="11"/>
    </row>
    <row r="92" spans="2:12">
      <c r="B92" s="1"/>
      <c r="C92" s="86"/>
      <c r="D92" s="86"/>
      <c r="E92" s="86"/>
      <c r="F92" s="86"/>
      <c r="H92" s="243"/>
      <c r="I92" s="11"/>
      <c r="J92" s="11"/>
      <c r="K92" s="11"/>
      <c r="L92" s="11"/>
    </row>
  </sheetData>
  <sheetProtection sheet="1" objects="1" scenarios="1"/>
  <mergeCells count="2">
    <mergeCell ref="E5:H5"/>
    <mergeCell ref="G1:H1"/>
  </mergeCells>
  <phoneticPr fontId="16"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
  <sheetViews>
    <sheetView showGridLines="0" workbookViewId="0">
      <selection activeCell="C10" sqref="C10:C11"/>
    </sheetView>
  </sheetViews>
  <sheetFormatPr baseColWidth="10" defaultRowHeight="15" x14ac:dyDescent="0"/>
  <cols>
    <col min="1" max="1" width="2.85546875" customWidth="1"/>
    <col min="2" max="2" width="42.140625" customWidth="1"/>
  </cols>
  <sheetData>
    <row r="1" spans="1:42" ht="16" thickBot="1"/>
    <row r="2" spans="1:42" ht="19" thickBot="1">
      <c r="B2" s="856" t="s">
        <v>756</v>
      </c>
      <c r="E2" s="573"/>
      <c r="F2" s="1263" t="s">
        <v>512</v>
      </c>
      <c r="G2" s="1264"/>
      <c r="H2" s="785"/>
    </row>
    <row r="3" spans="1:42">
      <c r="AH3" s="11"/>
    </row>
    <row r="4" spans="1:42" s="573" customFormat="1" ht="18">
      <c r="A4" s="1170"/>
      <c r="B4" s="1178" t="s">
        <v>879</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0"/>
    </row>
    <row r="5" spans="1:42" s="577" customFormat="1" ht="28">
      <c r="A5" s="576"/>
      <c r="B5" s="1175"/>
      <c r="C5" s="1176" t="s">
        <v>939</v>
      </c>
      <c r="D5" s="1177" t="s">
        <v>104</v>
      </c>
      <c r="E5" s="1177" t="s">
        <v>105</v>
      </c>
      <c r="F5" s="1177" t="s">
        <v>6</v>
      </c>
      <c r="G5" s="1177" t="s">
        <v>497</v>
      </c>
      <c r="H5" s="1177" t="s">
        <v>7</v>
      </c>
      <c r="I5" s="1177" t="s">
        <v>107</v>
      </c>
      <c r="J5" s="1177" t="s">
        <v>108</v>
      </c>
      <c r="K5" s="1177" t="s">
        <v>109</v>
      </c>
      <c r="L5" s="1177" t="s">
        <v>110</v>
      </c>
      <c r="M5" s="1177" t="s">
        <v>111</v>
      </c>
      <c r="N5" s="1177" t="s">
        <v>112</v>
      </c>
      <c r="O5" s="1177" t="s">
        <v>70</v>
      </c>
      <c r="P5" s="1177" t="s">
        <v>498</v>
      </c>
      <c r="Q5" s="1177" t="s">
        <v>289</v>
      </c>
      <c r="R5" s="1177" t="s">
        <v>499</v>
      </c>
      <c r="S5" s="1177" t="s">
        <v>113</v>
      </c>
      <c r="T5" s="1177" t="s">
        <v>386</v>
      </c>
      <c r="U5" s="1177" t="s">
        <v>387</v>
      </c>
      <c r="V5" s="1177" t="s">
        <v>282</v>
      </c>
      <c r="W5" s="1177" t="s">
        <v>117</v>
      </c>
      <c r="X5" s="1177" t="s">
        <v>118</v>
      </c>
      <c r="Y5" s="1177" t="s">
        <v>8</v>
      </c>
      <c r="Z5" s="1177" t="s">
        <v>500</v>
      </c>
      <c r="AA5" s="1177" t="s">
        <v>124</v>
      </c>
      <c r="AB5" s="1177" t="s">
        <v>204</v>
      </c>
      <c r="AC5" s="1177" t="s">
        <v>119</v>
      </c>
      <c r="AD5" s="1177" t="s">
        <v>120</v>
      </c>
      <c r="AE5" s="1177" t="s">
        <v>126</v>
      </c>
      <c r="AF5" s="1177" t="s">
        <v>121</v>
      </c>
      <c r="AG5" s="1177" t="s">
        <v>462</v>
      </c>
      <c r="AH5" s="576"/>
      <c r="AI5" s="576"/>
      <c r="AJ5" s="576"/>
      <c r="AK5" s="576"/>
      <c r="AL5" s="576"/>
      <c r="AM5" s="576"/>
      <c r="AN5" s="576"/>
      <c r="AO5" s="576"/>
      <c r="AP5" s="576"/>
    </row>
    <row r="6" spans="1:42" s="573" customFormat="1" ht="12" customHeight="1">
      <c r="A6" s="1170"/>
      <c r="B6" s="1146" t="s">
        <v>517</v>
      </c>
      <c r="C6" s="810"/>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1170"/>
    </row>
    <row r="7" spans="1:42" s="573" customFormat="1" ht="12" customHeight="1">
      <c r="A7" s="1170"/>
      <c r="B7" s="1147" t="s">
        <v>665</v>
      </c>
      <c r="C7" s="793"/>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1170"/>
    </row>
    <row r="8" spans="1:42" s="573" customFormat="1" ht="12" customHeight="1">
      <c r="A8" s="1170"/>
      <c r="B8" s="1148" t="s">
        <v>890</v>
      </c>
      <c r="C8" s="793"/>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1170"/>
    </row>
    <row r="9" spans="1:42" s="575" customFormat="1" ht="12" customHeight="1">
      <c r="A9" s="587"/>
      <c r="B9" s="1149" t="s">
        <v>675</v>
      </c>
      <c r="C9" s="1078"/>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7"/>
    </row>
    <row r="10" spans="1:42" s="575" customFormat="1" ht="12" customHeight="1">
      <c r="A10" s="587"/>
      <c r="B10" s="1150" t="s">
        <v>687</v>
      </c>
      <c r="C10" s="820">
        <f>AVERAGE(D10:AG10)</f>
        <v>396.45529230769233</v>
      </c>
      <c r="D10" s="586">
        <f>'Beans, Green'!$F$25</f>
        <v>201.04615384615386</v>
      </c>
      <c r="E10" s="586">
        <f>Beets!$F$29</f>
        <v>134.03076923076924</v>
      </c>
      <c r="F10" s="586"/>
      <c r="G10" s="586"/>
      <c r="H10" s="586"/>
      <c r="I10" s="586">
        <f>Carrots!$F$29</f>
        <v>150.78461538461539</v>
      </c>
      <c r="J10" s="586"/>
      <c r="K10" s="586">
        <f>'Chard, Swiss'!$F$29</f>
        <v>166.19815384615387</v>
      </c>
      <c r="L10" s="613">
        <f>'Corn, Sweet'!$F$25</f>
        <v>80.418461538461543</v>
      </c>
      <c r="M10" s="586"/>
      <c r="N10" s="586"/>
      <c r="O10" s="586">
        <f>Garlic!$F$24</f>
        <v>1333.5</v>
      </c>
      <c r="P10" s="586"/>
      <c r="Q10" s="586">
        <f>'Greens, Salad'!$F$29</f>
        <v>73.716923076923081</v>
      </c>
      <c r="R10" s="586">
        <f>'Herbs, Summer Annual'!$F$24</f>
        <v>44.230153846153854</v>
      </c>
      <c r="S10" s="586"/>
      <c r="T10" s="586"/>
      <c r="U10" s="586"/>
      <c r="V10" s="586"/>
      <c r="W10" s="586"/>
      <c r="X10" s="586"/>
      <c r="Y10" s="586">
        <f>Potatoes!$F$22</f>
        <v>1660</v>
      </c>
      <c r="Z10" s="586"/>
      <c r="AA10" s="586">
        <f>'Roots, RadishTurnip'!$F$29</f>
        <v>120.62769230769231</v>
      </c>
      <c r="AB10" s="586"/>
      <c r="AC10" s="586"/>
      <c r="AD10" s="586"/>
      <c r="AE10" s="586"/>
      <c r="AF10" s="586"/>
      <c r="AG10" s="586"/>
      <c r="AH10" s="587"/>
    </row>
    <row r="11" spans="1:42" s="575" customFormat="1" ht="12" customHeight="1">
      <c r="A11" s="587"/>
      <c r="B11" s="1150" t="s">
        <v>684</v>
      </c>
      <c r="C11" s="820">
        <f t="shared" ref="C11:C62" si="0">AVERAGE(D11:AG11)</f>
        <v>102.80777245598472</v>
      </c>
      <c r="D11" s="586"/>
      <c r="E11" s="586"/>
      <c r="F11" s="586">
        <f>Broccoli!$F$28</f>
        <v>48.583664703296712</v>
      </c>
      <c r="G11" s="586">
        <f>'Brussels Sprouts'!$F$29</f>
        <v>113.32134000000002</v>
      </c>
      <c r="H11" s="586">
        <f>Cabbage!$F$29</f>
        <v>121.75455600000001</v>
      </c>
      <c r="I11" s="586"/>
      <c r="J11" s="586">
        <f>Cauliflower!$F$29</f>
        <v>184.23333415384622</v>
      </c>
      <c r="K11" s="586"/>
      <c r="L11" s="586"/>
      <c r="M11" s="586">
        <f>Cucumbers!$F$25</f>
        <v>61.11571714285715</v>
      </c>
      <c r="N11" s="586">
        <f>Eggplant!$F$24</f>
        <v>116.37503428571432</v>
      </c>
      <c r="O11" s="586"/>
      <c r="P11" s="586">
        <f>'Greens, KaleCollards'!$F$28</f>
        <v>110.11833969230773</v>
      </c>
      <c r="Q11" s="586"/>
      <c r="R11" s="586"/>
      <c r="S11" s="586">
        <f>Kohlrabi!$F$28</f>
        <v>115.14583384615389</v>
      </c>
      <c r="T11" s="586">
        <f>Leeks!$F$23</f>
        <v>180.55731692307697</v>
      </c>
      <c r="U11" s="586">
        <f>'Lettuce, Head'!$F$28</f>
        <v>29.705462769230778</v>
      </c>
      <c r="V11" s="586">
        <f>Muskmelon!$F$25</f>
        <v>100.06914342857146</v>
      </c>
      <c r="W11" s="586">
        <f>'Onions, Bulb'!$F$23</f>
        <v>61.357052307692335</v>
      </c>
      <c r="X11" s="850">
        <f>Peppers!$F$24</f>
        <v>280.30403657142864</v>
      </c>
      <c r="Y11" s="586"/>
      <c r="Z11" s="586"/>
      <c r="AA11" s="586"/>
      <c r="AB11" s="586">
        <f>Scallions!$F$23</f>
        <v>51.35612307692309</v>
      </c>
      <c r="AC11" s="586">
        <f>'Squash, Summer'!$F$25</f>
        <v>107.09682342857145</v>
      </c>
      <c r="AD11" s="586">
        <f>'Squash, Winter'!$F$25</f>
        <v>80.195868342857153</v>
      </c>
      <c r="AE11" s="586">
        <f>Tomatoes!$F$24</f>
        <v>77.377685000000014</v>
      </c>
      <c r="AF11" s="586">
        <f>Watermelon!$F$25</f>
        <v>22.714465714285719</v>
      </c>
      <c r="AG11" s="586">
        <f>'You-Pick'!$F$24</f>
        <v>91.965879276895976</v>
      </c>
      <c r="AH11" s="587"/>
    </row>
    <row r="12" spans="1:42" s="575" customFormat="1" ht="12" customHeight="1">
      <c r="A12" s="587"/>
      <c r="B12" s="1151" t="s">
        <v>459</v>
      </c>
      <c r="C12" s="821">
        <f t="shared" si="0"/>
        <v>242.9959414893699</v>
      </c>
      <c r="D12" s="578"/>
      <c r="E12" s="578"/>
      <c r="F12" s="578">
        <f>Broccoli!$F$29</f>
        <v>234.94769411836958</v>
      </c>
      <c r="G12" s="578">
        <f>'Brussels Sprouts'!$F$30</f>
        <v>205.57923235357339</v>
      </c>
      <c r="H12" s="578">
        <f>Cabbage!$F$30</f>
        <v>205.57923235357339</v>
      </c>
      <c r="I12" s="578"/>
      <c r="J12" s="578">
        <f>Cauliflower!$F$30</f>
        <v>182.73709542539859</v>
      </c>
      <c r="K12" s="578"/>
      <c r="L12" s="578"/>
      <c r="M12" s="578">
        <f>Cucumbers!$F$26</f>
        <v>329.06529976974377</v>
      </c>
      <c r="N12" s="578">
        <f>Eggplant!$F$25</f>
        <v>348.18965593063365</v>
      </c>
      <c r="O12" s="578"/>
      <c r="P12" s="578">
        <f>'Greens, KaleCollards'!$F$29</f>
        <v>274.10564313809783</v>
      </c>
      <c r="Q12" s="578"/>
      <c r="R12" s="578"/>
      <c r="S12" s="578">
        <f>Kohlrabi!$F$29</f>
        <v>365.47419085079719</v>
      </c>
      <c r="T12" s="578">
        <f>Leeks!$F$24</f>
        <v>279.58819889560959</v>
      </c>
      <c r="U12" s="578">
        <f>'Lettuce, Head'!$F$29</f>
        <v>274.10564313809783</v>
      </c>
      <c r="V12" s="578">
        <f>Muskmelon!$F$26</f>
        <v>131.62611990789753</v>
      </c>
      <c r="W12" s="578">
        <f>'Onions, Bulb'!$F$24</f>
        <v>279.58819889560959</v>
      </c>
      <c r="X12" s="851">
        <f>Peppers!$F$25</f>
        <v>417.82758711676041</v>
      </c>
      <c r="Y12" s="578"/>
      <c r="Z12" s="578">
        <f>'Potatoes, Sweet'!$F$25</f>
        <v>225</v>
      </c>
      <c r="AA12" s="578"/>
      <c r="AB12" s="578">
        <f>Scallions!$F$24</f>
        <v>279.58819889560959</v>
      </c>
      <c r="AC12" s="578">
        <f>'Squash, Summer'!$F$26</f>
        <v>131.62611990789753</v>
      </c>
      <c r="AD12" s="578">
        <f>'Squash, Winter'!$F$26</f>
        <v>131.62611990789753</v>
      </c>
      <c r="AE12" s="578">
        <f>Tomatoes!$F$25</f>
        <v>152.33297446965221</v>
      </c>
      <c r="AF12" s="578">
        <f>Watermelon!$F$26</f>
        <v>82.266324942435944</v>
      </c>
      <c r="AG12" s="578">
        <f>'You-Pick'!$F$25</f>
        <v>329.06529976974377</v>
      </c>
      <c r="AH12" s="587"/>
    </row>
    <row r="13" spans="1:42" s="575" customFormat="1" ht="12" customHeight="1">
      <c r="A13" s="587"/>
      <c r="B13" s="1152" t="s">
        <v>676</v>
      </c>
      <c r="C13" s="820"/>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7"/>
    </row>
    <row r="14" spans="1:42" s="575" customFormat="1" ht="12" customHeight="1">
      <c r="A14" s="587"/>
      <c r="B14" s="1150" t="s">
        <v>69</v>
      </c>
      <c r="C14" s="820">
        <f t="shared" si="0"/>
        <v>116.66666666666661</v>
      </c>
      <c r="D14" s="586">
        <f>'Beans, Green'!$F$14</f>
        <v>116.66666666666667</v>
      </c>
      <c r="E14" s="586">
        <f>Beets!$F$19</f>
        <v>116.66666666666667</v>
      </c>
      <c r="F14" s="586">
        <f>Broccoli!$F$19</f>
        <v>116.66666666666667</v>
      </c>
      <c r="G14" s="586">
        <f>'Brussels Sprouts'!$F$19</f>
        <v>116.66666666666667</v>
      </c>
      <c r="H14" s="586">
        <f>Cabbage!$F$19</f>
        <v>116.66666666666667</v>
      </c>
      <c r="I14" s="586">
        <f>Carrots!$F$19</f>
        <v>116.66666666666667</v>
      </c>
      <c r="J14" s="586">
        <f>Cauliflower!$F$19</f>
        <v>116.66666666666667</v>
      </c>
      <c r="K14" s="586">
        <f>'Chard, Swiss'!$F$19</f>
        <v>116.66666666666667</v>
      </c>
      <c r="L14" s="586">
        <f>'Corn, Sweet'!$F$14</f>
        <v>116.66666666666667</v>
      </c>
      <c r="M14" s="586">
        <f>Cucumbers!$F$14</f>
        <v>116.66666666666667</v>
      </c>
      <c r="N14" s="586">
        <f>Eggplant!$F$14</f>
        <v>116.66666666666667</v>
      </c>
      <c r="O14" s="586">
        <f>Garlic!$F$14</f>
        <v>116.66666666666667</v>
      </c>
      <c r="P14" s="586">
        <f>'Greens, KaleCollards'!$F$19</f>
        <v>116.66666666666667</v>
      </c>
      <c r="Q14" s="586">
        <f>'Greens, Salad'!$F$19</f>
        <v>116.66666666666667</v>
      </c>
      <c r="R14" s="586">
        <f>'Herbs, Summer Annual'!$F$14</f>
        <v>116.66666666666667</v>
      </c>
      <c r="S14" s="586">
        <f>Kohlrabi!$F$19</f>
        <v>116.66666666666667</v>
      </c>
      <c r="T14" s="586">
        <f>Leeks!$F$14</f>
        <v>116.66666666666667</v>
      </c>
      <c r="U14" s="586">
        <f>'Lettuce, Head'!$F$19</f>
        <v>116.66666666666667</v>
      </c>
      <c r="V14" s="586">
        <f>Muskmelon!$F$14</f>
        <v>116.66666666666667</v>
      </c>
      <c r="W14" s="586">
        <f>'Onions, Bulb'!$F$14</f>
        <v>116.66666666666667</v>
      </c>
      <c r="X14" s="586">
        <f>Peppers!$F$14</f>
        <v>116.66666666666667</v>
      </c>
      <c r="Y14" s="586">
        <f>Potatoes!$F$14</f>
        <v>116.66666666666667</v>
      </c>
      <c r="Z14" s="586">
        <f>'Potatoes, Sweet'!$F$14</f>
        <v>116.66666666666667</v>
      </c>
      <c r="AA14" s="586">
        <f>'Roots, RadishTurnip'!$F$19</f>
        <v>116.66666666666667</v>
      </c>
      <c r="AB14" s="586">
        <f>Scallions!$F$14</f>
        <v>116.66666666666667</v>
      </c>
      <c r="AC14" s="586">
        <f>'Squash, Summer'!$F$14</f>
        <v>116.66666666666667</v>
      </c>
      <c r="AD14" s="586">
        <f>'Squash, Winter'!$F$14</f>
        <v>116.66666666666667</v>
      </c>
      <c r="AE14" s="586">
        <f>Tomatoes!$F$14</f>
        <v>116.66666666666667</v>
      </c>
      <c r="AF14" s="586">
        <f>Watermelon!$F$14</f>
        <v>116.66666666666667</v>
      </c>
      <c r="AG14" s="586">
        <f>'You-Pick'!$F$14</f>
        <v>116.66666666666667</v>
      </c>
      <c r="AH14" s="587"/>
    </row>
    <row r="15" spans="1:42" s="575" customFormat="1" ht="12" customHeight="1">
      <c r="A15" s="587"/>
      <c r="B15" s="1150" t="s">
        <v>315</v>
      </c>
      <c r="C15" s="820">
        <f t="shared" si="0"/>
        <v>154.8292857142857</v>
      </c>
      <c r="D15" s="586">
        <f>'Beans, Green'!$F$24</f>
        <v>124</v>
      </c>
      <c r="E15" s="586">
        <f>Beets!$F$28</f>
        <v>124</v>
      </c>
      <c r="F15" s="586">
        <f>Broccoli!$F$30</f>
        <v>124</v>
      </c>
      <c r="G15" s="586">
        <f>'Brussels Sprouts'!$F$31</f>
        <v>186</v>
      </c>
      <c r="H15" s="586">
        <f>Cabbage!$F$31</f>
        <v>186</v>
      </c>
      <c r="I15" s="586">
        <f>Carrots!$F$28</f>
        <v>124</v>
      </c>
      <c r="J15" s="586">
        <f>Cauliflower!$F$31</f>
        <v>186</v>
      </c>
      <c r="K15" s="586">
        <f>'Chard, Swiss'!$F$28</f>
        <v>124</v>
      </c>
      <c r="L15" s="586">
        <f>'Corn, Sweet'!$F$24</f>
        <v>124</v>
      </c>
      <c r="M15" s="586">
        <f>Cucumbers!$F$21</f>
        <v>186</v>
      </c>
      <c r="N15" s="586">
        <f>Eggplant!$F$20</f>
        <v>186</v>
      </c>
      <c r="O15" s="586">
        <f>Garlic!$F$20</f>
        <v>186</v>
      </c>
      <c r="P15" s="586">
        <f>'Greens, KaleCollards'!$F$30</f>
        <v>176.45</v>
      </c>
      <c r="Q15" s="586">
        <f>'Greens, Salad'!$F$28</f>
        <v>124</v>
      </c>
      <c r="R15" s="586">
        <f>'Herbs, Summer Annual'!$F$23</f>
        <v>124</v>
      </c>
      <c r="S15" s="586">
        <f>Kohlrabi!$F$30</f>
        <v>124</v>
      </c>
      <c r="T15" s="586">
        <f>Leeks!$F$25</f>
        <v>124</v>
      </c>
      <c r="U15" s="586">
        <f>'Lettuce, Head'!$F$30</f>
        <v>124</v>
      </c>
      <c r="V15" s="586">
        <f>Muskmelon!$F$21</f>
        <v>186</v>
      </c>
      <c r="W15" s="586">
        <f>'Onions, Bulb'!$F$25</f>
        <v>124</v>
      </c>
      <c r="X15" s="586">
        <f>Peppers!$F$20</f>
        <v>186</v>
      </c>
      <c r="Y15" s="586">
        <f>Potatoes!$F$21</f>
        <v>155</v>
      </c>
      <c r="Z15" s="586">
        <f>'Potatoes, Sweet'!$F$21</f>
        <v>186</v>
      </c>
      <c r="AA15" s="586">
        <f>'Roots, RadishTurnip'!$F$28</f>
        <v>124</v>
      </c>
      <c r="AB15" s="586">
        <f>Scallions!$F$25</f>
        <v>124</v>
      </c>
      <c r="AC15" s="586">
        <f>'Squash, Summer'!$F$21</f>
        <v>186</v>
      </c>
      <c r="AD15" s="586">
        <f>'Squash, Winter'!$F$21</f>
        <v>186</v>
      </c>
      <c r="AE15" s="586">
        <f>Tomatoes!$F$20</f>
        <v>159.42857142857142</v>
      </c>
      <c r="AF15" s="586">
        <f>Watermelon!$F$21</f>
        <v>186</v>
      </c>
      <c r="AG15" s="586">
        <f>'You-Pick'!$F$20</f>
        <v>186</v>
      </c>
      <c r="AH15" s="587"/>
    </row>
    <row r="16" spans="1:42" s="575" customFormat="1" ht="12" customHeight="1">
      <c r="A16" s="587"/>
      <c r="B16" s="1150" t="str">
        <f>'BW3-Variable Input'!$B$14</f>
        <v>Phytamin (4-3-4) soluble fish fertilizer</v>
      </c>
      <c r="C16" s="820">
        <f t="shared" si="0"/>
        <v>64.8</v>
      </c>
      <c r="D16" s="586"/>
      <c r="E16" s="586"/>
      <c r="F16" s="586"/>
      <c r="G16" s="586"/>
      <c r="H16" s="586"/>
      <c r="I16" s="586"/>
      <c r="J16" s="586"/>
      <c r="K16" s="586"/>
      <c r="L16" s="586"/>
      <c r="M16" s="586"/>
      <c r="N16" s="586">
        <f>Eggplant!$F$43</f>
        <v>72</v>
      </c>
      <c r="O16" s="586"/>
      <c r="P16" s="586"/>
      <c r="Q16" s="586"/>
      <c r="R16" s="586"/>
      <c r="S16" s="586"/>
      <c r="T16" s="586"/>
      <c r="U16" s="586"/>
      <c r="V16" s="586"/>
      <c r="W16" s="586"/>
      <c r="X16" s="586">
        <f>Peppers!$F$40</f>
        <v>72</v>
      </c>
      <c r="Y16" s="586">
        <f>Potatoes!$F$36</f>
        <v>72</v>
      </c>
      <c r="Z16" s="586">
        <f>'Potatoes, Sweet'!$F$35</f>
        <v>36</v>
      </c>
      <c r="AA16" s="586"/>
      <c r="AB16" s="586"/>
      <c r="AC16" s="586"/>
      <c r="AD16" s="586"/>
      <c r="AE16" s="586">
        <f>Tomatoes!$F$45</f>
        <v>72</v>
      </c>
      <c r="AF16" s="586"/>
      <c r="AG16" s="586"/>
      <c r="AH16" s="587"/>
    </row>
    <row r="17" spans="1:34" s="575" customFormat="1" ht="12">
      <c r="A17" s="587"/>
      <c r="B17" s="1150" t="str">
        <f>'BW3-Variable Input'!$B$15</f>
        <v>Sodium Nitrate (16-0-0) soluble organic fertilizer</v>
      </c>
      <c r="C17" s="820">
        <f t="shared" si="0"/>
        <v>34</v>
      </c>
      <c r="D17" s="586"/>
      <c r="E17" s="586"/>
      <c r="F17" s="586"/>
      <c r="G17" s="586"/>
      <c r="H17" s="586"/>
      <c r="I17" s="586"/>
      <c r="J17" s="586"/>
      <c r="K17" s="586"/>
      <c r="L17" s="586"/>
      <c r="M17" s="586"/>
      <c r="N17" s="586">
        <f>Eggplant!$F$44</f>
        <v>34</v>
      </c>
      <c r="O17" s="586"/>
      <c r="P17" s="586"/>
      <c r="Q17" s="586"/>
      <c r="R17" s="586"/>
      <c r="S17" s="586"/>
      <c r="T17" s="586"/>
      <c r="U17" s="586"/>
      <c r="V17" s="586">
        <f>Muskmelon!$F$42</f>
        <v>34</v>
      </c>
      <c r="W17" s="586"/>
      <c r="X17" s="586">
        <f>Peppers!$F$41</f>
        <v>34</v>
      </c>
      <c r="Y17" s="586">
        <f>Potatoes!$F$37</f>
        <v>34</v>
      </c>
      <c r="Z17" s="586"/>
      <c r="AA17" s="586"/>
      <c r="AB17" s="586"/>
      <c r="AC17" s="586"/>
      <c r="AD17" s="586">
        <f>'Squash, Winter'!$F$41</f>
        <v>34</v>
      </c>
      <c r="AE17" s="586">
        <f>Tomatoes!$F$46</f>
        <v>34</v>
      </c>
      <c r="AF17" s="586"/>
      <c r="AG17" s="586"/>
      <c r="AH17" s="587"/>
    </row>
    <row r="18" spans="1:34" s="575" customFormat="1" ht="12">
      <c r="A18" s="587"/>
      <c r="B18" s="1151" t="str">
        <f>'BW3-Variable Input'!$B$16</f>
        <v>Potassium Sulfate (0-0-54) soluble organic fertilizer</v>
      </c>
      <c r="C18" s="821">
        <f t="shared" si="0"/>
        <v>18.107142857142858</v>
      </c>
      <c r="D18" s="578"/>
      <c r="E18" s="578"/>
      <c r="F18" s="578"/>
      <c r="G18" s="578"/>
      <c r="H18" s="578"/>
      <c r="I18" s="578"/>
      <c r="J18" s="578"/>
      <c r="K18" s="578"/>
      <c r="L18" s="578"/>
      <c r="M18" s="578"/>
      <c r="N18" s="578">
        <f>Eggplant!$F$45</f>
        <v>19.5</v>
      </c>
      <c r="O18" s="578"/>
      <c r="P18" s="578"/>
      <c r="Q18" s="578"/>
      <c r="R18" s="578"/>
      <c r="S18" s="578"/>
      <c r="T18" s="578"/>
      <c r="U18" s="578"/>
      <c r="V18" s="578">
        <f>Muskmelon!$F$43</f>
        <v>19.5</v>
      </c>
      <c r="W18" s="578"/>
      <c r="X18" s="578">
        <f>Peppers!$F$42</f>
        <v>19.5</v>
      </c>
      <c r="Y18" s="578">
        <f>Potatoes!$F$38</f>
        <v>19.5</v>
      </c>
      <c r="Z18" s="578">
        <f>'Potatoes, Sweet'!$F$36</f>
        <v>9.75</v>
      </c>
      <c r="AA18" s="578"/>
      <c r="AB18" s="578"/>
      <c r="AC18" s="578"/>
      <c r="AD18" s="578">
        <f>'Squash, Winter'!$F$42</f>
        <v>19.5</v>
      </c>
      <c r="AE18" s="578">
        <f>Tomatoes!$F$47</f>
        <v>19.5</v>
      </c>
      <c r="AF18" s="578"/>
      <c r="AG18" s="578"/>
      <c r="AH18" s="587"/>
    </row>
    <row r="19" spans="1:34" s="575" customFormat="1" ht="12">
      <c r="A19" s="587"/>
      <c r="B19" s="1152" t="s">
        <v>677</v>
      </c>
      <c r="C19" s="820"/>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7"/>
    </row>
    <row r="20" spans="1:34" s="575" customFormat="1" ht="12">
      <c r="A20" s="587"/>
      <c r="B20" s="1150" t="s">
        <v>502</v>
      </c>
      <c r="C20" s="820">
        <f t="shared" si="0"/>
        <v>76.775510204081627</v>
      </c>
      <c r="D20" s="586"/>
      <c r="E20" s="586"/>
      <c r="F20" s="586"/>
      <c r="G20" s="586"/>
      <c r="H20" s="586"/>
      <c r="I20" s="586"/>
      <c r="J20" s="586"/>
      <c r="K20" s="586"/>
      <c r="L20" s="586"/>
      <c r="M20" s="586">
        <f>Cucumbers!$F$19</f>
        <v>77.785714285714278</v>
      </c>
      <c r="N20" s="586">
        <f>Eggplant!$F$18</f>
        <v>77.785714285714278</v>
      </c>
      <c r="O20" s="586">
        <f>Garlic!$F$18</f>
        <v>77.785714285714278</v>
      </c>
      <c r="P20" s="586"/>
      <c r="Q20" s="586"/>
      <c r="R20" s="586"/>
      <c r="S20" s="586"/>
      <c r="T20" s="586"/>
      <c r="U20" s="586"/>
      <c r="V20" s="586">
        <f>Muskmelon!$F$19</f>
        <v>77.785714285714278</v>
      </c>
      <c r="W20" s="586"/>
      <c r="X20" s="586">
        <f>Peppers!$F$18</f>
        <v>77.785714285714278</v>
      </c>
      <c r="Y20" s="586"/>
      <c r="Z20" s="586">
        <f>'Potatoes, Sweet'!$F$19</f>
        <v>77.785714285714278</v>
      </c>
      <c r="AA20" s="586"/>
      <c r="AB20" s="586"/>
      <c r="AC20" s="586">
        <f>'Squash, Summer'!$F$19</f>
        <v>77.785714285714278</v>
      </c>
      <c r="AD20" s="586">
        <f>'Squash, Winter'!$F$19</f>
        <v>77.785714285714278</v>
      </c>
      <c r="AE20" s="586">
        <f>Tomatoes!$F$18</f>
        <v>66.673469387755091</v>
      </c>
      <c r="AF20" s="586">
        <f>Watermelon!$F$19</f>
        <v>77.785714285714278</v>
      </c>
      <c r="AG20" s="586">
        <f>'You-Pick'!$F$18</f>
        <v>77.785714285714278</v>
      </c>
      <c r="AH20" s="587"/>
    </row>
    <row r="21" spans="1:34" s="575" customFormat="1" ht="12">
      <c r="A21" s="587"/>
      <c r="B21" s="1151" t="s">
        <v>313</v>
      </c>
      <c r="C21" s="821">
        <f t="shared" si="0"/>
        <v>90.654441025641063</v>
      </c>
      <c r="D21" s="578">
        <f>'Beans, Green'!$F$19</f>
        <v>125.09538461538463</v>
      </c>
      <c r="E21" s="578">
        <f>Beets!$F$23</f>
        <v>125.09538461538463</v>
      </c>
      <c r="F21" s="578">
        <f>Broccoli!$F$23</f>
        <v>125.09538461538463</v>
      </c>
      <c r="G21" s="578">
        <f>'Brussels Sprouts'!$F$24</f>
        <v>125.09538461538463</v>
      </c>
      <c r="H21" s="578">
        <f>Cabbage!$F$24</f>
        <v>125.09538461538463</v>
      </c>
      <c r="I21" s="578">
        <f>Carrots!$F$23</f>
        <v>125.09538461538463</v>
      </c>
      <c r="J21" s="578">
        <f>Cauliflower!$F$24</f>
        <v>125.09538461538463</v>
      </c>
      <c r="K21" s="578">
        <f>'Chard, Swiss'!$F$23</f>
        <v>125.09538461538463</v>
      </c>
      <c r="L21" s="578">
        <f>'Corn, Sweet'!$F$19</f>
        <v>125.09538461538463</v>
      </c>
      <c r="M21" s="578">
        <f>Cucumbers!$F$20</f>
        <v>33.880000000000003</v>
      </c>
      <c r="N21" s="578">
        <f>Eggplant!$F$19</f>
        <v>33.880000000000003</v>
      </c>
      <c r="O21" s="578">
        <f>Garlic!$F$19</f>
        <v>33.880000000000003</v>
      </c>
      <c r="P21" s="578">
        <f>'Greens, KaleCollards'!$F$23</f>
        <v>125.09538461538463</v>
      </c>
      <c r="Q21" s="578">
        <f>'Greens, Salad'!$F$23</f>
        <v>125.09538461538463</v>
      </c>
      <c r="R21" s="578">
        <f>'Herbs, Summer Annual'!$F$18</f>
        <v>125.09538461538463</v>
      </c>
      <c r="S21" s="578">
        <f>Kohlrabi!$F$23</f>
        <v>125.09538461538463</v>
      </c>
      <c r="T21" s="578">
        <f>Leeks!$F$18</f>
        <v>125.09538461538463</v>
      </c>
      <c r="U21" s="578">
        <f>'Lettuce, Head'!$F$23</f>
        <v>125.09538461538463</v>
      </c>
      <c r="V21" s="578">
        <f>Muskmelon!$F$20</f>
        <v>33.880000000000003</v>
      </c>
      <c r="W21" s="578">
        <f>'Onions, Bulb'!$F$18</f>
        <v>125.09538461538463</v>
      </c>
      <c r="X21" s="578">
        <f>Peppers!$F$19</f>
        <v>33.880000000000003</v>
      </c>
      <c r="Y21" s="578">
        <f>Potatoes!$F$20</f>
        <v>100.07630769230771</v>
      </c>
      <c r="Z21" s="578">
        <f>'Potatoes, Sweet'!$F$20</f>
        <v>33.880000000000003</v>
      </c>
      <c r="AA21" s="578">
        <f>'Roots, RadishTurnip'!$F$23</f>
        <v>125.09538461538463</v>
      </c>
      <c r="AB21" s="578">
        <f>Scallions!$F$18</f>
        <v>125.09538461538463</v>
      </c>
      <c r="AC21" s="578">
        <f>'Squash, Summer'!$F$20</f>
        <v>33.880000000000003</v>
      </c>
      <c r="AD21" s="578">
        <f>'Squash, Winter'!$F$20</f>
        <v>33.880000000000003</v>
      </c>
      <c r="AE21" s="578">
        <f>Tomatoes!$F$19</f>
        <v>29.04</v>
      </c>
      <c r="AF21" s="578">
        <f>Watermelon!$F$20</f>
        <v>33.880000000000003</v>
      </c>
      <c r="AG21" s="578">
        <f>'You-Pick'!$F$19</f>
        <v>33.880000000000003</v>
      </c>
      <c r="AH21" s="587"/>
    </row>
    <row r="22" spans="1:34" s="575" customFormat="1" ht="12">
      <c r="A22" s="587"/>
      <c r="B22" s="1152" t="s">
        <v>678</v>
      </c>
      <c r="C22" s="820"/>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7"/>
    </row>
    <row r="23" spans="1:34" s="575" customFormat="1" ht="12">
      <c r="A23" s="587"/>
      <c r="B23" s="1153" t="str">
        <f>'BW3-Variable Input'!$B$33</f>
        <v>Winter cover crop seed</v>
      </c>
      <c r="C23" s="820">
        <f t="shared" si="0"/>
        <v>31.793452380952399</v>
      </c>
      <c r="D23" s="586">
        <f>'Beans, Green'!$F$54</f>
        <v>31.793452380952385</v>
      </c>
      <c r="E23" s="586">
        <f>Beets!$F$57</f>
        <v>31.793452380952385</v>
      </c>
      <c r="F23" s="586">
        <f>Broccoli!$F$62</f>
        <v>31.793452380952385</v>
      </c>
      <c r="G23" s="586">
        <f>'Brussels Sprouts'!$F$63</f>
        <v>31.793452380952385</v>
      </c>
      <c r="H23" s="586">
        <f>Cabbage!$F$62</f>
        <v>31.793452380952385</v>
      </c>
      <c r="I23" s="586">
        <f>Carrots!$F$57</f>
        <v>31.793452380952385</v>
      </c>
      <c r="J23" s="586">
        <f>Cauliflower!$F$62</f>
        <v>31.793452380952385</v>
      </c>
      <c r="K23" s="586">
        <f>'Chard, Swiss'!$F$58</f>
        <v>31.793452380952385</v>
      </c>
      <c r="L23" s="586">
        <f>'Corn, Sweet'!$F$54</f>
        <v>31.793452380952385</v>
      </c>
      <c r="M23" s="586">
        <f>Cucumbers!$F$56</f>
        <v>31.793452380952385</v>
      </c>
      <c r="N23" s="586">
        <f>Eggplant!$F$62</f>
        <v>31.793452380952385</v>
      </c>
      <c r="O23" s="586">
        <f>Garlic!$F$52</f>
        <v>31.793452380952385</v>
      </c>
      <c r="P23" s="586">
        <f>'Greens, KaleCollards'!$F$63</f>
        <v>31.793452380952385</v>
      </c>
      <c r="Q23" s="586">
        <f>'Greens, Salad'!$F$57</f>
        <v>31.793452380952385</v>
      </c>
      <c r="R23" s="586">
        <f>'Herbs, Summer Annual'!$F$52</f>
        <v>31.793452380952385</v>
      </c>
      <c r="S23" s="586">
        <f>Kohlrabi!$F$56</f>
        <v>31.793452380952385</v>
      </c>
      <c r="T23" s="586">
        <f>Leeks!$F$54</f>
        <v>31.793452380952385</v>
      </c>
      <c r="U23" s="586">
        <f>'Lettuce, Head'!$F$57</f>
        <v>31.793452380952385</v>
      </c>
      <c r="V23" s="586">
        <f>Muskmelon!$F$60</f>
        <v>31.793452380952385</v>
      </c>
      <c r="W23" s="586">
        <f>'Onions, Bulb'!$F$53</f>
        <v>31.793452380952385</v>
      </c>
      <c r="X23" s="586">
        <f>Peppers!$F$59</f>
        <v>31.793452380952385</v>
      </c>
      <c r="Y23" s="586">
        <f>Potatoes!$F$55</f>
        <v>31.793452380952385</v>
      </c>
      <c r="Z23" s="586">
        <f>'Potatoes, Sweet'!$F$53</f>
        <v>31.793452380952385</v>
      </c>
      <c r="AA23" s="586">
        <f>'Roots, RadishTurnip'!$F$57</f>
        <v>31.793452380952385</v>
      </c>
      <c r="AB23" s="586">
        <f>Scallions!$F$52</f>
        <v>31.793452380952385</v>
      </c>
      <c r="AC23" s="586">
        <f>'Squash, Summer'!$F$56</f>
        <v>31.793452380952385</v>
      </c>
      <c r="AD23" s="586">
        <f>'Squash, Winter'!$F$59</f>
        <v>31.793452380952385</v>
      </c>
      <c r="AE23" s="586">
        <f>Tomatoes!$F$67</f>
        <v>31.793452380952385</v>
      </c>
      <c r="AF23" s="586">
        <f>Watermelon!$F$54</f>
        <v>31.793452380952385</v>
      </c>
      <c r="AG23" s="586">
        <f>'You-Pick'!$F$59</f>
        <v>31.793452380952385</v>
      </c>
      <c r="AH23" s="587"/>
    </row>
    <row r="24" spans="1:34" s="575" customFormat="1" ht="12">
      <c r="A24" s="587"/>
      <c r="B24" s="1153" t="str">
        <f>'BW3-Variable Input'!$B$34</f>
        <v>Summer cover crop seed</v>
      </c>
      <c r="C24" s="820">
        <f t="shared" si="0"/>
        <v>18.868888888888897</v>
      </c>
      <c r="D24" s="586"/>
      <c r="E24" s="586">
        <f>Beets!$F$14</f>
        <v>16.173333333333336</v>
      </c>
      <c r="F24" s="586">
        <f>Broccoli!$F$14</f>
        <v>16.173333333333336</v>
      </c>
      <c r="G24" s="586">
        <f>'Brussels Sprouts'!$F$14</f>
        <v>32.346666666666671</v>
      </c>
      <c r="H24" s="586">
        <f>Cabbage!$F$14</f>
        <v>16.173333333333336</v>
      </c>
      <c r="I24" s="586">
        <f>Carrots!$F$14</f>
        <v>16.173333333333336</v>
      </c>
      <c r="J24" s="586">
        <f>Cauliflower!$F$14</f>
        <v>32.346666666666671</v>
      </c>
      <c r="K24" s="586">
        <f>'Chard, Swiss'!$F$14</f>
        <v>16.173333333333336</v>
      </c>
      <c r="L24" s="586"/>
      <c r="M24" s="586"/>
      <c r="N24" s="586"/>
      <c r="O24" s="586"/>
      <c r="P24" s="586">
        <f>'Greens, KaleCollards'!$F$14</f>
        <v>16.173333333333336</v>
      </c>
      <c r="Q24" s="586">
        <f>'Greens, Salad'!$F$14</f>
        <v>16.173333333333336</v>
      </c>
      <c r="R24" s="586"/>
      <c r="S24" s="586">
        <f>Kohlrabi!$F$14</f>
        <v>16.173333333333336</v>
      </c>
      <c r="T24" s="586"/>
      <c r="U24" s="586">
        <f>'Lettuce, Head'!$F$14</f>
        <v>16.173333333333336</v>
      </c>
      <c r="V24" s="586"/>
      <c r="W24" s="586"/>
      <c r="X24" s="586"/>
      <c r="Y24" s="586"/>
      <c r="Z24" s="586"/>
      <c r="AA24" s="586">
        <f>'Roots, RadishTurnip'!$F$14</f>
        <v>16.173333333333336</v>
      </c>
      <c r="AB24" s="586"/>
      <c r="AC24" s="586"/>
      <c r="AD24" s="586"/>
      <c r="AE24" s="586"/>
      <c r="AF24" s="586"/>
      <c r="AG24" s="586"/>
      <c r="AH24" s="587"/>
    </row>
    <row r="25" spans="1:34" s="575" customFormat="1" ht="12">
      <c r="A25" s="587"/>
      <c r="B25" s="1153" t="str">
        <f>'BW3-Variable Input'!$B$36</f>
        <v>Buckwheat seed for edge of field</v>
      </c>
      <c r="C25" s="820">
        <f t="shared" si="0"/>
        <v>8.8000000000000007</v>
      </c>
      <c r="D25" s="586">
        <f>'Beans, Green'!$F$33</f>
        <v>8.8000000000000007</v>
      </c>
      <c r="E25" s="586">
        <f>Beets!$F$37</f>
        <v>8.8000000000000007</v>
      </c>
      <c r="F25" s="586">
        <f>Broccoli!F38</f>
        <v>8.8000000000000007</v>
      </c>
      <c r="G25" s="586">
        <f>'Brussels Sprouts'!$F$39</f>
        <v>8.8000000000000007</v>
      </c>
      <c r="H25" s="586">
        <f>Cabbage!$F$39</f>
        <v>8.8000000000000007</v>
      </c>
      <c r="I25" s="586">
        <f>Carrots!$F$37</f>
        <v>8.8000000000000007</v>
      </c>
      <c r="J25" s="586">
        <f>Cauliflower!$F$39</f>
        <v>8.8000000000000007</v>
      </c>
      <c r="K25" s="586">
        <f>'Chard, Swiss'!$F$37</f>
        <v>8.8000000000000007</v>
      </c>
      <c r="L25" s="586">
        <f>'Corn, Sweet'!$F$33</f>
        <v>8.8000000000000007</v>
      </c>
      <c r="M25" s="586"/>
      <c r="N25" s="586"/>
      <c r="O25" s="586"/>
      <c r="P25" s="586">
        <f>'Greens, KaleCollards'!$F$38</f>
        <v>8.8000000000000007</v>
      </c>
      <c r="Q25" s="586">
        <f>'Greens, Salad'!$F$37</f>
        <v>8.8000000000000007</v>
      </c>
      <c r="R25" s="586">
        <f>'Herbs, Summer Annual'!$F$32</f>
        <v>8.8000000000000007</v>
      </c>
      <c r="S25" s="586">
        <f>Kohlrabi!$F$38</f>
        <v>8.8000000000000007</v>
      </c>
      <c r="T25" s="586">
        <f>Leeks!$F$33</f>
        <v>8.8000000000000007</v>
      </c>
      <c r="U25" s="586">
        <f>'Lettuce, Head'!$F$38</f>
        <v>8.8000000000000007</v>
      </c>
      <c r="V25" s="586"/>
      <c r="W25" s="586">
        <f>'Onions, Bulb'!$F$33</f>
        <v>8.8000000000000007</v>
      </c>
      <c r="X25" s="586"/>
      <c r="Y25" s="586">
        <f>Potatoes!$F$31</f>
        <v>8.8000000000000007</v>
      </c>
      <c r="Z25" s="586"/>
      <c r="AA25" s="586">
        <f>'Roots, RadishTurnip'!$F$37</f>
        <v>8.8000000000000007</v>
      </c>
      <c r="AB25" s="586">
        <f>Scallions!$F$33</f>
        <v>8.8000000000000007</v>
      </c>
      <c r="AC25" s="586"/>
      <c r="AD25" s="586"/>
      <c r="AE25" s="586"/>
      <c r="AF25" s="586"/>
      <c r="AG25" s="586"/>
      <c r="AH25" s="587"/>
    </row>
    <row r="26" spans="1:34" s="575" customFormat="1" ht="12">
      <c r="A26" s="587"/>
      <c r="B26" s="1153" t="str">
        <f>'BW3-Variable Input'!$B$35</f>
        <v>Living mulch seed</v>
      </c>
      <c r="C26" s="820">
        <f t="shared" si="0"/>
        <v>79.86866666666667</v>
      </c>
      <c r="D26" s="586"/>
      <c r="E26" s="586"/>
      <c r="F26" s="586"/>
      <c r="G26" s="586"/>
      <c r="H26" s="586"/>
      <c r="I26" s="586"/>
      <c r="J26" s="586"/>
      <c r="K26" s="586"/>
      <c r="L26" s="586"/>
      <c r="M26" s="586"/>
      <c r="N26" s="586">
        <f>Eggplant!$F$27</f>
        <v>79.866666666666674</v>
      </c>
      <c r="O26" s="586">
        <f>Garlic!$F$26</f>
        <v>79.866666666666674</v>
      </c>
      <c r="P26" s="586"/>
      <c r="Q26" s="586"/>
      <c r="R26" s="586"/>
      <c r="S26" s="586"/>
      <c r="T26" s="586"/>
      <c r="U26" s="586"/>
      <c r="V26" s="586"/>
      <c r="W26" s="586"/>
      <c r="X26" s="586">
        <f>Peppers!$F$27</f>
        <v>79.87</v>
      </c>
      <c r="Y26" s="586"/>
      <c r="Z26" s="586"/>
      <c r="AA26" s="586"/>
      <c r="AB26" s="586"/>
      <c r="AC26" s="586"/>
      <c r="AD26" s="586"/>
      <c r="AE26" s="586">
        <f>Tomatoes!$F$27</f>
        <v>79.87</v>
      </c>
      <c r="AF26" s="586"/>
      <c r="AG26" s="586">
        <f>'You-Pick'!$F$27</f>
        <v>79.87</v>
      </c>
      <c r="AH26" s="587"/>
    </row>
    <row r="27" spans="1:34" s="575" customFormat="1" ht="12">
      <c r="A27" s="587"/>
      <c r="B27" s="1154" t="str">
        <f>'BW3-Variable Input'!$B$37</f>
        <v>Undersown medium red clover seed</v>
      </c>
      <c r="C27" s="821">
        <f t="shared" si="0"/>
        <v>31.68</v>
      </c>
      <c r="D27" s="578"/>
      <c r="E27" s="578"/>
      <c r="F27" s="578">
        <f>Broccoli!$F$43</f>
        <v>17.600000000000001</v>
      </c>
      <c r="G27" s="578">
        <f>'Brussels Sprouts'!$F$44</f>
        <v>35.200000000000003</v>
      </c>
      <c r="H27" s="578">
        <f>Cabbage!$F$44</f>
        <v>35.200000000000003</v>
      </c>
      <c r="I27" s="578"/>
      <c r="J27" s="578">
        <f>Cauliflower!$F$44</f>
        <v>35.200000000000003</v>
      </c>
      <c r="K27" s="578"/>
      <c r="L27" s="578"/>
      <c r="M27" s="578"/>
      <c r="N27" s="578"/>
      <c r="O27" s="578"/>
      <c r="P27" s="578">
        <f>'Greens, KaleCollards'!$F$43</f>
        <v>35.200000000000003</v>
      </c>
      <c r="Q27" s="578"/>
      <c r="R27" s="578"/>
      <c r="S27" s="578"/>
      <c r="T27" s="578"/>
      <c r="U27" s="578"/>
      <c r="V27" s="578"/>
      <c r="W27" s="578"/>
      <c r="X27" s="578"/>
      <c r="Y27" s="578"/>
      <c r="Z27" s="578"/>
      <c r="AA27" s="578"/>
      <c r="AB27" s="578"/>
      <c r="AC27" s="578"/>
      <c r="AD27" s="578"/>
      <c r="AE27" s="578"/>
      <c r="AF27" s="578"/>
      <c r="AG27" s="578"/>
      <c r="AH27" s="587"/>
    </row>
    <row r="28" spans="1:34" s="575" customFormat="1" ht="12">
      <c r="A28" s="587"/>
      <c r="B28" s="1152" t="s">
        <v>679</v>
      </c>
      <c r="C28" s="820">
        <f t="shared" si="0"/>
        <v>103.75200367831943</v>
      </c>
      <c r="D28" s="586">
        <f>'Beans, Green'!$F$38</f>
        <v>105.79815187376725</v>
      </c>
      <c r="E28" s="586"/>
      <c r="F28" s="586">
        <f>Broccoli!$F$45</f>
        <v>79.532288700479015</v>
      </c>
      <c r="G28" s="586">
        <f>'Brussels Sprouts'!$F$46</f>
        <v>79.532288700479015</v>
      </c>
      <c r="H28" s="586">
        <f>Cabbage!$F$46</f>
        <v>79.532288700479015</v>
      </c>
      <c r="I28" s="586"/>
      <c r="J28" s="586">
        <f>Cauliflower!$F$46</f>
        <v>79.532288700479015</v>
      </c>
      <c r="K28" s="586"/>
      <c r="L28" s="586">
        <f>'Corn, Sweet'!$F$38</f>
        <v>60.738229191321501</v>
      </c>
      <c r="M28" s="586">
        <f>Cucumbers!$F$39</f>
        <v>217.77238542705967</v>
      </c>
      <c r="N28" s="586">
        <f>Eggplant!$F$40</f>
        <v>41.093801870748301</v>
      </c>
      <c r="O28" s="586">
        <f>Garlic!$F$36</f>
        <v>25.750775510204083</v>
      </c>
      <c r="P28" s="586">
        <f>'Greens, KaleCollards'!$F$45</f>
        <v>79.532288700479015</v>
      </c>
      <c r="Q28" s="586"/>
      <c r="R28" s="586"/>
      <c r="S28" s="586"/>
      <c r="T28" s="586">
        <f>Leeks!$F$38</f>
        <v>50.644084615384614</v>
      </c>
      <c r="U28" s="586"/>
      <c r="V28" s="586">
        <f>Muskmelon!$F$40</f>
        <v>183.59469765684057</v>
      </c>
      <c r="W28" s="586">
        <f>'Onions, Bulb'!$F$38</f>
        <v>50.644084615384614</v>
      </c>
      <c r="X28" s="586">
        <f>Peppers!$F$37</f>
        <v>41.093801870748301</v>
      </c>
      <c r="Y28" s="586">
        <f>Potatoes!$F$34</f>
        <v>119.42617652777778</v>
      </c>
      <c r="Z28" s="586"/>
      <c r="AA28" s="586"/>
      <c r="AB28" s="586"/>
      <c r="AC28" s="586">
        <f>'Squash, Summer'!$F$39</f>
        <v>217.77238542705967</v>
      </c>
      <c r="AD28" s="586">
        <f>'Squash, Winter'!$F$39</f>
        <v>153.53688378684805</v>
      </c>
      <c r="AE28" s="586">
        <f>Tomatoes!$F$43</f>
        <v>87.988782585470062</v>
      </c>
      <c r="AF28" s="586">
        <f>Watermelon!$F$37</f>
        <v>217.77238542705967</v>
      </c>
      <c r="AG28" s="586"/>
      <c r="AH28" s="587"/>
    </row>
    <row r="29" spans="1:34" s="575" customFormat="1" ht="12">
      <c r="A29" s="587"/>
      <c r="B29" s="1155" t="s">
        <v>889</v>
      </c>
      <c r="C29" s="820">
        <f t="shared" si="0"/>
        <v>32.773534158149566</v>
      </c>
      <c r="D29" s="586">
        <f>'Beans, Green'!$F$29</f>
        <v>32.773534158149545</v>
      </c>
      <c r="E29" s="586">
        <f>Beets!$F$33</f>
        <v>32.773534158149545</v>
      </c>
      <c r="F29" s="586">
        <f>Broccoli!$F$34</f>
        <v>32.773534158149545</v>
      </c>
      <c r="G29" s="586">
        <f>'Brussels Sprouts'!$F$35</f>
        <v>32.773534158149545</v>
      </c>
      <c r="H29" s="586">
        <f>Cabbage!$F$35</f>
        <v>32.773534158149545</v>
      </c>
      <c r="I29" s="586">
        <f>Carrots!$F$33</f>
        <v>32.773534158149545</v>
      </c>
      <c r="J29" s="586">
        <f>Cauliflower!$F$35</f>
        <v>32.773534158149545</v>
      </c>
      <c r="K29" s="586">
        <f>'Chard, Swiss'!$F$33</f>
        <v>32.773534158149545</v>
      </c>
      <c r="L29" s="586">
        <f>'Corn, Sweet'!$F$29</f>
        <v>32.773534158149545</v>
      </c>
      <c r="M29" s="586">
        <f>Cucumbers!$F$30</f>
        <v>32.773534158149545</v>
      </c>
      <c r="N29" s="586">
        <f>Eggplant!$F$31</f>
        <v>32.773534158149545</v>
      </c>
      <c r="O29" s="586">
        <f>Garlic!$F$30</f>
        <v>32.773534158149545</v>
      </c>
      <c r="P29" s="586">
        <f>'Greens, KaleCollards'!$F$34</f>
        <v>32.773534158149545</v>
      </c>
      <c r="Q29" s="586">
        <f>'Greens, Salad'!$F$33</f>
        <v>32.773534158149545</v>
      </c>
      <c r="R29" s="586">
        <f>'Herbs, Summer Annual'!$F$28</f>
        <v>32.773534158149545</v>
      </c>
      <c r="S29" s="586">
        <f>Kohlrabi!$F$34</f>
        <v>32.773534158149545</v>
      </c>
      <c r="T29" s="586">
        <f>Leeks!$F$29</f>
        <v>32.773534158149545</v>
      </c>
      <c r="U29" s="586">
        <f>'Lettuce, Head'!$F$34</f>
        <v>32.773534158149545</v>
      </c>
      <c r="V29" s="586">
        <f>Muskmelon!$F$30</f>
        <v>32.773534158149545</v>
      </c>
      <c r="W29" s="586">
        <f>'Onions, Bulb'!$F$29</f>
        <v>32.773534158149545</v>
      </c>
      <c r="X29" s="586">
        <f>Peppers!$F$31</f>
        <v>32.773534158149545</v>
      </c>
      <c r="Y29" s="586">
        <f>Potatoes!$F$26</f>
        <v>32.773534158149545</v>
      </c>
      <c r="Z29" s="586">
        <f>'Potatoes, Sweet'!$F$29</f>
        <v>32.773534158149545</v>
      </c>
      <c r="AA29" s="586">
        <f>'Roots, RadishTurnip'!$F$33</f>
        <v>32.773534158149545</v>
      </c>
      <c r="AB29" s="586">
        <f>Scallions!$F$29</f>
        <v>32.773534158149545</v>
      </c>
      <c r="AC29" s="586">
        <f>'Squash, Summer'!$F$30</f>
        <v>32.773534158149545</v>
      </c>
      <c r="AD29" s="586">
        <f>'Squash, Winter'!$F$30</f>
        <v>32.773534158149545</v>
      </c>
      <c r="AE29" s="586">
        <f>Tomatoes!$F$31</f>
        <v>32.773534158149545</v>
      </c>
      <c r="AF29" s="586">
        <f>Watermelon!$F$30</f>
        <v>32.773534158149545</v>
      </c>
      <c r="AG29" s="586">
        <f>'You-Pick'!$F$31</f>
        <v>32.773534158149545</v>
      </c>
      <c r="AH29" s="587"/>
    </row>
    <row r="30" spans="1:34" s="575" customFormat="1" ht="12">
      <c r="A30" s="587"/>
      <c r="B30" s="1156" t="s">
        <v>898</v>
      </c>
      <c r="C30" s="820"/>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7"/>
    </row>
    <row r="31" spans="1:34" s="575" customFormat="1" ht="12">
      <c r="A31" s="587"/>
      <c r="B31" s="1157" t="s">
        <v>751</v>
      </c>
      <c r="C31" s="820">
        <f t="shared" si="0"/>
        <v>654.99851816666671</v>
      </c>
      <c r="D31" s="586"/>
      <c r="E31" s="586"/>
      <c r="F31" s="586"/>
      <c r="G31" s="586"/>
      <c r="H31" s="586"/>
      <c r="I31" s="586"/>
      <c r="J31" s="586"/>
      <c r="K31" s="586"/>
      <c r="L31" s="586"/>
      <c r="M31" s="586">
        <f>Cucumbers!$F$35</f>
        <v>654.99851816666671</v>
      </c>
      <c r="N31" s="586">
        <f>Eggplant!$F$36</f>
        <v>654.99851816666671</v>
      </c>
      <c r="O31" s="587"/>
      <c r="P31" s="586"/>
      <c r="Q31" s="586"/>
      <c r="R31" s="586"/>
      <c r="S31" s="586"/>
      <c r="T31" s="586"/>
      <c r="U31" s="586"/>
      <c r="V31" s="586">
        <f>Muskmelon!$F$35</f>
        <v>654.99851816666671</v>
      </c>
      <c r="W31" s="586"/>
      <c r="X31" s="586"/>
      <c r="Y31" s="587"/>
      <c r="Z31" s="586"/>
      <c r="AA31" s="586"/>
      <c r="AB31" s="586"/>
      <c r="AC31" s="586">
        <f>'Squash, Summer'!$F$35</f>
        <v>654.99851816666671</v>
      </c>
      <c r="AD31" s="586">
        <f>'Squash, Winter'!$F$35</f>
        <v>654.99851816666671</v>
      </c>
      <c r="AE31" s="586"/>
      <c r="AF31" s="586"/>
      <c r="AG31" s="586"/>
      <c r="AH31" s="587"/>
    </row>
    <row r="32" spans="1:34" s="575" customFormat="1" ht="12">
      <c r="A32" s="587"/>
      <c r="B32" s="1150" t="str">
        <f>'BW3-Variable Input'!$B$28</f>
        <v xml:space="preserve">Agribon 19 row cover </v>
      </c>
      <c r="C32" s="820">
        <f t="shared" si="0"/>
        <v>69.249230769230778</v>
      </c>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f>'Roots, RadishTurnip'!$F$39</f>
        <v>69.249230769230778</v>
      </c>
      <c r="AB32" s="586"/>
      <c r="AC32" s="586"/>
      <c r="AD32" s="586"/>
      <c r="AE32" s="586"/>
      <c r="AF32" s="586"/>
      <c r="AG32" s="586"/>
      <c r="AH32" s="587"/>
    </row>
    <row r="33" spans="1:34" s="575" customFormat="1" ht="12">
      <c r="A33" s="587"/>
      <c r="B33" s="1150" t="str">
        <f>'BW3-Variable Input'!$B$29</f>
        <v>Quality #2100 white twine</v>
      </c>
      <c r="C33" s="820">
        <f t="shared" si="0"/>
        <v>17.477777777777781</v>
      </c>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f>Tomatoes!$F$39</f>
        <v>29.961904761904766</v>
      </c>
      <c r="AF33" s="586"/>
      <c r="AG33" s="586">
        <f>'You-Pick'!$F$41</f>
        <v>4.9936507936507946</v>
      </c>
      <c r="AH33" s="587"/>
    </row>
    <row r="34" spans="1:34" s="575" customFormat="1" ht="12">
      <c r="A34" s="587"/>
      <c r="B34" s="1151" t="str">
        <f>'BW3-Variable Input'!$B$30</f>
        <v>6' studded steel T-posts</v>
      </c>
      <c r="C34" s="821">
        <f t="shared" si="0"/>
        <v>61.583958333333342</v>
      </c>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f>Tomatoes!$F$36</f>
        <v>105.57250000000002</v>
      </c>
      <c r="AF34" s="578"/>
      <c r="AG34" s="578">
        <f>'You-Pick'!$F$38</f>
        <v>17.595416666666669</v>
      </c>
      <c r="AH34" s="587"/>
    </row>
    <row r="35" spans="1:34" s="575" customFormat="1" ht="12">
      <c r="A35" s="587"/>
      <c r="B35" s="1148" t="s">
        <v>891</v>
      </c>
      <c r="C35" s="811">
        <f t="shared" si="0"/>
        <v>1050.1214934618881</v>
      </c>
      <c r="D35" s="586">
        <f>'Beans, Green'!$H$64</f>
        <v>745.97334354107431</v>
      </c>
      <c r="E35" s="586">
        <f>Beets!$H$67</f>
        <v>589.33314038525589</v>
      </c>
      <c r="F35" s="586">
        <f>Broccoli!$H$72</f>
        <v>835.96601867663196</v>
      </c>
      <c r="G35" s="586">
        <f>'Brussels Sprouts'!$H$73</f>
        <v>967.10856554187251</v>
      </c>
      <c r="H35" s="586">
        <f>Cabbage!$H$72</f>
        <v>959.36844820853912</v>
      </c>
      <c r="I35" s="586">
        <f>Carrots!$H$67</f>
        <v>606.08698653910199</v>
      </c>
      <c r="J35" s="586">
        <f>Cauliflower!$H$72</f>
        <v>1015.1784227675438</v>
      </c>
      <c r="K35" s="586">
        <f>'Chard, Swiss'!$H$68</f>
        <v>621.50052500064044</v>
      </c>
      <c r="L35" s="586">
        <f>'Corn, Sweet'!$H$64</f>
        <v>580.28572855093637</v>
      </c>
      <c r="M35" s="586">
        <f>Cucumbers!$H$66</f>
        <v>1741.8512879978102</v>
      </c>
      <c r="N35" s="586">
        <f>Eggplant!$H$72</f>
        <v>1844.9230444119128</v>
      </c>
      <c r="O35" s="586">
        <f>Garlic!$H$62</f>
        <v>1918.0168096683535</v>
      </c>
      <c r="P35" s="586">
        <f>'Greens, KaleCollards'!$H$73</f>
        <v>1006.7086426853713</v>
      </c>
      <c r="Q35" s="586">
        <f>'Greens, Salad'!$H$67</f>
        <v>529.01929423140962</v>
      </c>
      <c r="R35" s="586">
        <f>'Herbs, Summer Annual'!$H$62</f>
        <v>483.35919166730707</v>
      </c>
      <c r="S35" s="586">
        <f>Kohlrabi!$H$66</f>
        <v>935.92239585143773</v>
      </c>
      <c r="T35" s="586">
        <f>Leeks!$H$64</f>
        <v>949.91863825522444</v>
      </c>
      <c r="U35" s="586">
        <f>'Lettuce, Head'!$H$67</f>
        <v>759.11347706181516</v>
      </c>
      <c r="V35" s="586">
        <f>Muskmelon!$H$70</f>
        <v>1602.687846651459</v>
      </c>
      <c r="W35" s="586">
        <f>'Onions, Bulb'!$H$63</f>
        <v>830.7183736398398</v>
      </c>
      <c r="X35" s="586">
        <f>Peppers!$H$69</f>
        <v>1423.4947930504204</v>
      </c>
      <c r="Y35" s="586">
        <f>Potatoes!$H$65</f>
        <v>2350.0361374258541</v>
      </c>
      <c r="Z35" s="586">
        <f>'Potatoes, Sweet'!$H$63</f>
        <v>749.64936749148296</v>
      </c>
      <c r="AA35" s="586">
        <f>'Roots, RadishTurnip'!$H$67</f>
        <v>645.17929423140959</v>
      </c>
      <c r="AB35" s="586">
        <f>Scallions!$H$62</f>
        <v>770.07335979368588</v>
      </c>
      <c r="AC35" s="586">
        <f>'Squash, Summer'!$H$66</f>
        <v>1590.3932144216783</v>
      </c>
      <c r="AD35" s="586">
        <f>'Squash, Winter'!$H$69</f>
        <v>1552.7567576957522</v>
      </c>
      <c r="AE35" s="586">
        <f>Tomatoes!$H$77</f>
        <v>1094.9795408391221</v>
      </c>
      <c r="AF35" s="586">
        <f>Watermelon!$H$64</f>
        <v>801.6525435752643</v>
      </c>
      <c r="AG35" s="586">
        <f>'You-Pick'!$H$69</f>
        <v>1002.3896139984402</v>
      </c>
      <c r="AH35" s="587"/>
    </row>
    <row r="36" spans="1:34" s="575" customFormat="1">
      <c r="A36" s="587"/>
      <c r="B36" s="1148" t="s">
        <v>892</v>
      </c>
      <c r="C36" s="811">
        <f t="shared" si="0"/>
        <v>1213.9266203352756</v>
      </c>
      <c r="D36" s="586">
        <f>'Beans, Green'!$H$62</f>
        <v>710.3403708904109</v>
      </c>
      <c r="E36" s="586">
        <f>Beets!$H$65</f>
        <v>701.10590089041102</v>
      </c>
      <c r="F36" s="586">
        <f>Broccoli!$H$70</f>
        <v>1298.6310869883678</v>
      </c>
      <c r="G36" s="586">
        <f>'Brussels Sprouts'!$H$71</f>
        <v>1225.9966627808858</v>
      </c>
      <c r="H36" s="586">
        <f>Cabbage!$H$70</f>
        <v>1258.8995037261229</v>
      </c>
      <c r="I36" s="586">
        <f>Carrots!$H$65</f>
        <v>1763.0699508904108</v>
      </c>
      <c r="J36" s="586">
        <f>Cauliflower!$H$70</f>
        <v>1231.661633411044</v>
      </c>
      <c r="K36" s="586">
        <f>'Chard, Swiss'!$H$66</f>
        <v>697.15222089041106</v>
      </c>
      <c r="L36" s="586">
        <f>'Corn, Sweet'!$H$62</f>
        <v>665.49118089041087</v>
      </c>
      <c r="M36" s="586">
        <f>Cucumbers!$H$64</f>
        <v>1456.3932693371703</v>
      </c>
      <c r="N36" s="586">
        <f>Eggplant!$H$70</f>
        <v>1834.1320595850143</v>
      </c>
      <c r="O36" s="586">
        <f>Garlic!$H$60</f>
        <v>933.28686089041094</v>
      </c>
      <c r="P36" s="586">
        <f>'Greens, KaleCollards'!$H$71</f>
        <v>1343.2597846713602</v>
      </c>
      <c r="Q36" s="586">
        <f>'Greens, Salad'!$H$65</f>
        <v>654.937500890411</v>
      </c>
      <c r="R36" s="586">
        <f>'Herbs, Summer Annual'!$H$60</f>
        <v>653.618290890411</v>
      </c>
      <c r="S36" s="586">
        <f>Kohlrabi!$H$64</f>
        <v>1454.8453859316769</v>
      </c>
      <c r="T36" s="586">
        <f>Leeks!$H$62</f>
        <v>1604.5022170958555</v>
      </c>
      <c r="U36" s="586">
        <f>'Lettuce, Head'!$H$65</f>
        <v>1298.4023446713604</v>
      </c>
      <c r="V36" s="850">
        <f>Muskmelon!$H$68</f>
        <v>1391.8560142691147</v>
      </c>
      <c r="W36" s="586">
        <f>'Onions, Bulb'!$H$61</f>
        <v>1591.3101170958555</v>
      </c>
      <c r="X36" s="586">
        <f>Peppers!$H$67</f>
        <v>1765.7668553239346</v>
      </c>
      <c r="Y36" s="586">
        <f>Potatoes!$H$63</f>
        <v>1190.5367608904107</v>
      </c>
      <c r="Z36" s="586">
        <f>'Potatoes, Sweet'!$H$61</f>
        <v>817.19638089041098</v>
      </c>
      <c r="AA36" s="586">
        <f>'Roots, RadishTurnip'!$H$65</f>
        <v>503.22835089041087</v>
      </c>
      <c r="AB36" s="586">
        <f>Scallions!$H$60</f>
        <v>1322.1912770958556</v>
      </c>
      <c r="AC36" s="586">
        <f>'Squash, Summer'!$H$64</f>
        <v>1120.0987542691146</v>
      </c>
      <c r="AD36" s="586">
        <f>'Squash, Winter'!$H$67</f>
        <v>1312.7034142691145</v>
      </c>
      <c r="AE36" s="586">
        <f>Tomatoes!$H$75</f>
        <v>2241.2911565692998</v>
      </c>
      <c r="AF36" s="586">
        <f>Watermelon!$H$62</f>
        <v>890.91715050210075</v>
      </c>
      <c r="AG36" s="586">
        <f>'You-Pick'!$H$67</f>
        <v>1484.9761526705038</v>
      </c>
      <c r="AH36" s="587"/>
    </row>
    <row r="37" spans="1:34" s="580" customFormat="1" ht="12">
      <c r="A37" s="588"/>
      <c r="B37" s="1148" t="s">
        <v>893</v>
      </c>
      <c r="C37" s="811">
        <f t="shared" si="0"/>
        <v>234.11536352245963</v>
      </c>
      <c r="D37" s="613">
        <f>'Beans, Green'!$H$63</f>
        <v>175.07650732319198</v>
      </c>
      <c r="E37" s="613">
        <f>Beets!$H$66</f>
        <v>151.69196720177797</v>
      </c>
      <c r="F37" s="613">
        <f>Broccoli!$H$71</f>
        <v>215.94709879009517</v>
      </c>
      <c r="G37" s="613">
        <f>'Brussels Sprouts'!$H$72</f>
        <v>226.20893718141335</v>
      </c>
      <c r="H37" s="613">
        <f>Cabbage!$H$71</f>
        <v>219.67526015712488</v>
      </c>
      <c r="I37" s="613">
        <f>Carrots!$H$66</f>
        <v>156.0485763588853</v>
      </c>
      <c r="J37" s="613">
        <f>Cauliflower!$H$71</f>
        <v>226.20893718141335</v>
      </c>
      <c r="K37" s="613">
        <f>'Chard, Swiss'!$H$67</f>
        <v>159.87788865842094</v>
      </c>
      <c r="L37" s="613">
        <f>'Corn, Sweet'!$H$63</f>
        <v>163.65553699557236</v>
      </c>
      <c r="M37" s="613">
        <f>Cucumbers!$H$65</f>
        <v>202.14932454141177</v>
      </c>
      <c r="N37" s="613">
        <f>Eggplant!$H$71</f>
        <v>467.45399792889532</v>
      </c>
      <c r="O37" s="613">
        <f>Garlic!$H$61</f>
        <v>147.04343340693566</v>
      </c>
      <c r="P37" s="613">
        <f>'Greens, KaleCollards'!$H$72</f>
        <v>205.76487714483514</v>
      </c>
      <c r="Q37" s="613">
        <f>'Greens, Salad'!$H$66</f>
        <v>151.69196720177797</v>
      </c>
      <c r="R37" s="613">
        <f>'Herbs, Summer Annual'!$H$61</f>
        <v>153.34421163413248</v>
      </c>
      <c r="S37" s="613">
        <f>Kohlrabi!$H$65</f>
        <v>167.03229075241208</v>
      </c>
      <c r="T37" s="613">
        <f>Leeks!$H$63</f>
        <v>205.58410946627109</v>
      </c>
      <c r="U37" s="613">
        <f>'Lettuce, Head'!$H$66</f>
        <v>167.03229075241208</v>
      </c>
      <c r="V37" s="613">
        <f>Muskmelon!$H$69</f>
        <v>367.45816786929754</v>
      </c>
      <c r="W37" s="613">
        <f>'Onions, Bulb'!$H$62</f>
        <v>195.40188782101106</v>
      </c>
      <c r="X37" s="613">
        <f>Peppers!$H$68</f>
        <v>457.99569120889532</v>
      </c>
      <c r="Y37" s="613">
        <f>Potatoes!$H$64</f>
        <v>322.12800406766843</v>
      </c>
      <c r="Z37" s="613">
        <f>'Potatoes, Sweet'!$H$62</f>
        <v>380.37298361739289</v>
      </c>
      <c r="AA37" s="613">
        <f>'Roots, RadishTurnip'!$H$66</f>
        <v>137.91068790566806</v>
      </c>
      <c r="AB37" s="613">
        <f>Scallions!$H$61</f>
        <v>164.85522288523097</v>
      </c>
      <c r="AC37" s="613">
        <f>'Squash, Summer'!$H$65</f>
        <v>202.14932454141177</v>
      </c>
      <c r="AD37" s="613">
        <f>'Squash, Winter'!$H$68</f>
        <v>448.52690015499388</v>
      </c>
      <c r="AE37" s="613">
        <f>Tomatoes!$H$76</f>
        <v>442.84039514500603</v>
      </c>
      <c r="AF37" s="613">
        <f>Watermelon!$H$63</f>
        <v>170.42631453089169</v>
      </c>
      <c r="AG37" s="613">
        <f>'You-Pick'!$H$68</f>
        <v>171.90811324934191</v>
      </c>
      <c r="AH37" s="588"/>
    </row>
    <row r="38" spans="1:34" s="575" customFormat="1" ht="12">
      <c r="A38" s="587"/>
      <c r="B38" s="1158"/>
      <c r="C38" s="813"/>
      <c r="D38" s="587"/>
      <c r="E38" s="582"/>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row>
    <row r="39" spans="1:34" s="587" customFormat="1" ht="12">
      <c r="B39" s="1159" t="s">
        <v>674</v>
      </c>
      <c r="C39" s="811">
        <f t="shared" si="0"/>
        <v>2498.1634773196242</v>
      </c>
      <c r="D39" s="613">
        <f>'Beans, Green'!$H$65</f>
        <v>1631.3902217546772</v>
      </c>
      <c r="E39" s="613">
        <f>Beets!$H$68</f>
        <v>1442.131008477445</v>
      </c>
      <c r="F39" s="613">
        <f>Broccoli!$H$73</f>
        <v>2350.544204455095</v>
      </c>
      <c r="G39" s="613">
        <f>'Brussels Sprouts'!$H$74</f>
        <v>2419.3141655041718</v>
      </c>
      <c r="H39" s="613">
        <f>Cabbage!$H$73</f>
        <v>2437.9432120917872</v>
      </c>
      <c r="I39" s="613">
        <f>Carrots!$H$68</f>
        <v>2525.2055137883981</v>
      </c>
      <c r="J39" s="613">
        <f>Cauliflower!$H$73</f>
        <v>2473.0489933600011</v>
      </c>
      <c r="K39" s="613">
        <f>'Chard, Swiss'!$H$69</f>
        <v>1478.5306345494723</v>
      </c>
      <c r="L39" s="613">
        <f>'Corn, Sweet'!$H$65</f>
        <v>1409.4324464369197</v>
      </c>
      <c r="M39" s="613">
        <f>Cucumbers!$H$67</f>
        <v>3400.3938818763922</v>
      </c>
      <c r="N39" s="613">
        <f>Eggplant!$H$73</f>
        <v>4146.5091019258225</v>
      </c>
      <c r="O39" s="613">
        <f>Garlic!$H$63</f>
        <v>2998.3471039657002</v>
      </c>
      <c r="P39" s="613">
        <f>'Greens, KaleCollards'!$H$74</f>
        <v>2555.7333045015666</v>
      </c>
      <c r="Q39" s="613">
        <f>'Greens, Salad'!$H$68</f>
        <v>1335.6487623235985</v>
      </c>
      <c r="R39" s="613">
        <f>'Herbs, Summer Annual'!$H$63</f>
        <v>1290.3216941918504</v>
      </c>
      <c r="S39" s="613">
        <f>Kohlrabi!$H$67</f>
        <v>2557.8000725355269</v>
      </c>
      <c r="T39" s="613">
        <f>Leeks!$H$65</f>
        <v>2760.0049648173508</v>
      </c>
      <c r="U39" s="613">
        <f>'Lettuce, Head'!$H$68</f>
        <v>2224.5481124855878</v>
      </c>
      <c r="V39" s="613">
        <f>Muskmelon!$H$71</f>
        <v>3362.0020287898715</v>
      </c>
      <c r="W39" s="613">
        <f>'Onions, Bulb'!$H$64</f>
        <v>2617.4303785567063</v>
      </c>
      <c r="X39" s="613">
        <f>Peppers!$H$70</f>
        <v>3647.2573395832505</v>
      </c>
      <c r="Y39" s="613">
        <f>Potatoes!$H$66</f>
        <v>3862.7009023839332</v>
      </c>
      <c r="Z39" s="613">
        <f>'Potatoes, Sweet'!$H$64</f>
        <v>1947.2187319992868</v>
      </c>
      <c r="AA39" s="613">
        <f>'Roots, RadishTurnip'!$H$68</f>
        <v>1286.3183330274885</v>
      </c>
      <c r="AB39" s="613">
        <f>Scallions!$H$63</f>
        <v>2257.1198597747725</v>
      </c>
      <c r="AC39" s="613">
        <f>'Squash, Summer'!$H$67</f>
        <v>2912.6412932322046</v>
      </c>
      <c r="AD39" s="613">
        <f>'Squash, Winter'!$H$70</f>
        <v>3313.9870721198604</v>
      </c>
      <c r="AE39" s="613">
        <f>Tomatoes!$H$78</f>
        <v>3779.1110925534276</v>
      </c>
      <c r="AF39" s="613">
        <f>Watermelon!$H$65</f>
        <v>1862.9960086082569</v>
      </c>
      <c r="AG39" s="613">
        <f>'You-Pick'!$H$70</f>
        <v>2659.2738799182862</v>
      </c>
    </row>
    <row r="40" spans="1:34" s="587" customFormat="1" ht="12">
      <c r="B40" s="1160"/>
      <c r="C40" s="812"/>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row>
    <row r="41" spans="1:34" s="573" customFormat="1" ht="12">
      <c r="A41" s="1170"/>
      <c r="B41" s="1147" t="s">
        <v>937</v>
      </c>
      <c r="C41" s="814"/>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1170"/>
    </row>
    <row r="42" spans="1:34" s="575" customFormat="1" ht="12">
      <c r="A42" s="587"/>
      <c r="B42" s="1161" t="s">
        <v>890</v>
      </c>
      <c r="C42" s="815"/>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7"/>
    </row>
    <row r="43" spans="1:34" s="575" customFormat="1" ht="12">
      <c r="A43" s="587"/>
      <c r="B43" s="1162" t="str">
        <f>'BW3-Variable Input'!$B$67</f>
        <v>Sani-Date 5.0 Wash Water Sanitizer</v>
      </c>
      <c r="C43" s="811">
        <f t="shared" si="0"/>
        <v>146.07567567567565</v>
      </c>
      <c r="D43" s="586"/>
      <c r="E43" s="586"/>
      <c r="F43" s="586">
        <f>Broccoli!$F$52</f>
        <v>91.297297297297291</v>
      </c>
      <c r="G43" s="586"/>
      <c r="H43" s="586"/>
      <c r="I43" s="586"/>
      <c r="J43" s="586"/>
      <c r="K43" s="586">
        <f>'Chard, Swiss'!$F$48</f>
        <v>91.297297297297291</v>
      </c>
      <c r="L43" s="586"/>
      <c r="M43" s="586"/>
      <c r="N43" s="586"/>
      <c r="O43" s="586"/>
      <c r="P43" s="586">
        <f>'Greens, KaleCollards'!$F$53</f>
        <v>273.89189189189187</v>
      </c>
      <c r="Q43" s="586">
        <f>'Greens, Salad'!$F$47</f>
        <v>182.59459459459458</v>
      </c>
      <c r="R43" s="586"/>
      <c r="S43" s="586"/>
      <c r="T43" s="586"/>
      <c r="U43" s="586">
        <f>'Lettuce, Head'!$F$48</f>
        <v>91.297297297297291</v>
      </c>
      <c r="V43" s="586"/>
      <c r="W43" s="586"/>
      <c r="X43" s="586"/>
      <c r="Y43" s="586"/>
      <c r="Z43" s="586"/>
      <c r="AA43" s="586"/>
      <c r="AB43" s="586"/>
      <c r="AC43" s="586"/>
      <c r="AD43" s="586"/>
      <c r="AE43" s="586"/>
      <c r="AF43" s="586"/>
      <c r="AG43" s="586"/>
      <c r="AH43" s="587"/>
    </row>
    <row r="44" spans="1:34" s="575" customFormat="1" ht="12">
      <c r="A44" s="587"/>
      <c r="B44" s="1162" t="str">
        <f>'BW3-Variable Input'!$B$68</f>
        <v>Plastic produce bags</v>
      </c>
      <c r="C44" s="811">
        <f t="shared" si="0"/>
        <v>70.593406593406598</v>
      </c>
      <c r="D44" s="586">
        <f>'Beans, Green'!$F$45</f>
        <v>62.749694749694754</v>
      </c>
      <c r="E44" s="586">
        <f>Beets!$F$48</f>
        <v>31.374847374847377</v>
      </c>
      <c r="F44" s="587"/>
      <c r="G44" s="586"/>
      <c r="H44" s="586"/>
      <c r="I44" s="586">
        <f>Carrots!$F$48</f>
        <v>62.749694749694754</v>
      </c>
      <c r="J44" s="586"/>
      <c r="K44" s="586"/>
      <c r="L44" s="586"/>
      <c r="M44" s="586"/>
      <c r="N44" s="586"/>
      <c r="O44" s="586"/>
      <c r="P44" s="586"/>
      <c r="Q44" s="586">
        <f>'Greens, Salad'!$F$48</f>
        <v>125.49938949938951</v>
      </c>
      <c r="R44" s="586"/>
      <c r="S44" s="586"/>
      <c r="T44" s="586"/>
      <c r="U44" s="586"/>
      <c r="V44" s="586"/>
      <c r="W44" s="586"/>
      <c r="X44" s="586"/>
      <c r="Y44" s="586"/>
      <c r="Z44" s="586"/>
      <c r="AA44" s="586"/>
      <c r="AB44" s="586"/>
      <c r="AC44" s="586"/>
      <c r="AD44" s="586"/>
      <c r="AE44" s="586"/>
      <c r="AF44" s="586"/>
      <c r="AG44" s="586"/>
      <c r="AH44" s="587"/>
    </row>
    <row r="45" spans="1:34" s="575" customFormat="1" ht="12">
      <c r="A45" s="587"/>
      <c r="B45" s="1162" t="str">
        <f>'BW3-Variable Input'!$B$69</f>
        <v>Paper produce sacks</v>
      </c>
      <c r="C45" s="811">
        <f t="shared" si="0"/>
        <v>135.66535714285715</v>
      </c>
      <c r="D45" s="586"/>
      <c r="E45" s="586"/>
      <c r="F45" s="586"/>
      <c r="G45" s="586"/>
      <c r="H45" s="586"/>
      <c r="I45" s="586"/>
      <c r="J45" s="586"/>
      <c r="K45" s="586"/>
      <c r="L45" s="586"/>
      <c r="M45" s="586"/>
      <c r="N45" s="586"/>
      <c r="O45" s="586"/>
      <c r="P45" s="586"/>
      <c r="Q45" s="586"/>
      <c r="R45" s="586"/>
      <c r="S45" s="586"/>
      <c r="T45" s="586"/>
      <c r="U45" s="586"/>
      <c r="V45" s="586"/>
      <c r="W45" s="586"/>
      <c r="X45" s="586"/>
      <c r="Y45" s="586">
        <f>Potatoes!$F$45</f>
        <v>135.66535714285715</v>
      </c>
      <c r="Z45" s="586">
        <f>'Potatoes, Sweet'!$F$43</f>
        <v>135.66535714285715</v>
      </c>
      <c r="AA45" s="586"/>
      <c r="AB45" s="586"/>
      <c r="AC45" s="586"/>
      <c r="AD45" s="586"/>
      <c r="AE45" s="586"/>
      <c r="AF45" s="586"/>
      <c r="AG45" s="586"/>
      <c r="AH45" s="587"/>
    </row>
    <row r="46" spans="1:34" s="575" customFormat="1" ht="12">
      <c r="A46" s="587"/>
      <c r="B46" s="1162" t="str">
        <f>'BW3-Variable Input'!$B$71</f>
        <v>Tomato boxes</v>
      </c>
      <c r="C46" s="811">
        <f t="shared" si="0"/>
        <v>108</v>
      </c>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f>Tomatoes!$F$54</f>
        <v>108</v>
      </c>
      <c r="AF46" s="586"/>
      <c r="AG46" s="586"/>
      <c r="AH46" s="587"/>
    </row>
    <row r="47" spans="1:34" s="575" customFormat="1" ht="12">
      <c r="A47" s="587"/>
      <c r="B47" s="1163" t="str">
        <f>'BW3-Variable Input'!$B$70</f>
        <v>Twist ties</v>
      </c>
      <c r="C47" s="812">
        <f t="shared" si="0"/>
        <v>149.34850071428568</v>
      </c>
      <c r="D47" s="578"/>
      <c r="E47" s="578">
        <f>Beets!$F$46</f>
        <v>87.11995499999999</v>
      </c>
      <c r="F47" s="578"/>
      <c r="G47" s="578"/>
      <c r="H47" s="578"/>
      <c r="I47" s="578"/>
      <c r="J47" s="578"/>
      <c r="K47" s="578">
        <f>'Chard, Swiss'!$F$46</f>
        <v>261.35986499999996</v>
      </c>
      <c r="L47" s="578"/>
      <c r="M47" s="578"/>
      <c r="N47" s="578"/>
      <c r="O47" s="578"/>
      <c r="P47" s="578">
        <f>'Greens, KaleCollards'!$F$51</f>
        <v>261.35986499999996</v>
      </c>
      <c r="Q47" s="578"/>
      <c r="R47" s="578">
        <f>'Herbs, Summer Annual'!$F$41</f>
        <v>174.23990999999998</v>
      </c>
      <c r="S47" s="578"/>
      <c r="T47" s="578">
        <f>Leeks!$F$44</f>
        <v>87.11995499999999</v>
      </c>
      <c r="U47" s="578"/>
      <c r="V47" s="578"/>
      <c r="W47" s="578"/>
      <c r="X47" s="578"/>
      <c r="Y47" s="578"/>
      <c r="Z47" s="578"/>
      <c r="AA47" s="578">
        <f>'Roots, RadishTurnip'!$F$47</f>
        <v>87.12</v>
      </c>
      <c r="AB47" s="578">
        <f>Scallions!$F$42</f>
        <v>87.11995499999999</v>
      </c>
      <c r="AC47" s="578"/>
      <c r="AD47" s="578"/>
      <c r="AE47" s="578"/>
      <c r="AF47" s="578"/>
      <c r="AG47" s="578"/>
      <c r="AH47" s="587"/>
    </row>
    <row r="48" spans="1:34" s="575" customFormat="1">
      <c r="A48" s="587"/>
      <c r="B48" s="1164" t="s">
        <v>891</v>
      </c>
      <c r="C48" s="811">
        <f t="shared" si="0"/>
        <v>81.250740801257294</v>
      </c>
      <c r="D48" s="586">
        <f>'Beans, Green'!$H$68</f>
        <v>62.749694749694754</v>
      </c>
      <c r="E48" s="586">
        <f>Beets!$H$71</f>
        <v>118.49480237484737</v>
      </c>
      <c r="F48" s="586">
        <f>Broccoli!$H$76</f>
        <v>91.297297297297291</v>
      </c>
      <c r="G48" s="586">
        <f>'Brussels Sprouts'!$H$77</f>
        <v>0</v>
      </c>
      <c r="H48" s="586">
        <f>Cabbage!$H$76</f>
        <v>0</v>
      </c>
      <c r="I48" s="586">
        <f>Carrots!$H$71</f>
        <v>62.749694749694754</v>
      </c>
      <c r="J48" s="586">
        <f>Cauliflower!$H$76</f>
        <v>0</v>
      </c>
      <c r="K48" s="586">
        <f>'Chard, Swiss'!$H$72</f>
        <v>352.65716229729725</v>
      </c>
      <c r="L48" s="586">
        <f>'Corn, Sweet'!$H$68</f>
        <v>0</v>
      </c>
      <c r="M48" s="586">
        <f>Cucumbers!$H$70</f>
        <v>0</v>
      </c>
      <c r="N48" s="850">
        <f>Eggplant!$H$76</f>
        <v>0</v>
      </c>
      <c r="O48" s="586">
        <f>Garlic!$H$66</f>
        <v>0</v>
      </c>
      <c r="P48" s="586">
        <f>'Greens, KaleCollards'!$H$77</f>
        <v>535.25175689189177</v>
      </c>
      <c r="Q48" s="586">
        <f>'Greens, Salad'!$H$71</f>
        <v>308.09398409398409</v>
      </c>
      <c r="R48" s="586">
        <f>'Herbs, Summer Annual'!$H$66</f>
        <v>174.23990999999998</v>
      </c>
      <c r="S48" s="586">
        <f>Kohlrabi!$H$70</f>
        <v>0</v>
      </c>
      <c r="T48" s="586">
        <f>Leeks!$H$68</f>
        <v>87.11995499999999</v>
      </c>
      <c r="U48" s="586">
        <f>'Lettuce, Head'!$H$71</f>
        <v>91.297297297297291</v>
      </c>
      <c r="V48" s="586">
        <f>Muskmelon!$H$74</f>
        <v>0</v>
      </c>
      <c r="W48" s="586">
        <f>'Onions, Bulb'!$H$67</f>
        <v>0</v>
      </c>
      <c r="X48" s="586">
        <f>Peppers!$H$73</f>
        <v>0</v>
      </c>
      <c r="Y48" s="586">
        <f>Potatoes!$H$69</f>
        <v>135.66535714285715</v>
      </c>
      <c r="Z48" s="586">
        <f>'Potatoes, Sweet'!$H$67</f>
        <v>135.66535714285715</v>
      </c>
      <c r="AA48" s="586">
        <f>'Roots, RadishTurnip'!$H$71</f>
        <v>87.12</v>
      </c>
      <c r="AB48" s="586">
        <f>Scallions!$H$66</f>
        <v>87.11995499999999</v>
      </c>
      <c r="AC48" s="586">
        <f>'Squash, Summer'!$H$70</f>
        <v>0</v>
      </c>
      <c r="AD48" s="586">
        <f>'Squash, Winter'!$H$73</f>
        <v>0</v>
      </c>
      <c r="AE48" s="586">
        <f>Tomatoes!$H$81</f>
        <v>108</v>
      </c>
      <c r="AF48" s="586">
        <f>Watermelon!$H$68</f>
        <v>0</v>
      </c>
      <c r="AG48" s="586">
        <f>'You-Pick'!$H$73</f>
        <v>0</v>
      </c>
      <c r="AH48" s="587"/>
    </row>
    <row r="49" spans="1:34" s="575" customFormat="1">
      <c r="A49" s="587"/>
      <c r="B49" s="1164" t="s">
        <v>892</v>
      </c>
      <c r="C49" s="811">
        <f t="shared" si="0"/>
        <v>1509.3381747724866</v>
      </c>
      <c r="D49" s="586">
        <f>'Beans, Green'!$H$66</f>
        <v>1081.7521999999999</v>
      </c>
      <c r="E49" s="586">
        <f>Beets!$H$69</f>
        <v>1226.8652999999999</v>
      </c>
      <c r="F49" s="586">
        <f>Broccoli!$H$74</f>
        <v>277.03409999999997</v>
      </c>
      <c r="G49" s="586">
        <f>'Brussels Sprouts'!$H$75</f>
        <v>1714.973</v>
      </c>
      <c r="H49" s="586">
        <f>Cabbage!$H$74</f>
        <v>620.02870000000007</v>
      </c>
      <c r="I49" s="586">
        <f>Carrots!$H$69</f>
        <v>989.40750000000003</v>
      </c>
      <c r="J49" s="586">
        <f>Cauliflower!$H$74</f>
        <v>435.33930000000004</v>
      </c>
      <c r="K49" s="586">
        <f>'Chard, Swiss'!$H$70</f>
        <v>2968.2224999999999</v>
      </c>
      <c r="L49" s="586">
        <f>'Corn, Sweet'!$H$66</f>
        <v>375.97485</v>
      </c>
      <c r="M49" s="586">
        <f>Cucumbers!$H$68</f>
        <v>2928.6462000000001</v>
      </c>
      <c r="N49" s="586">
        <f>Eggplant!$H$74</f>
        <v>1688.5888</v>
      </c>
      <c r="O49" s="586">
        <f>Garlic!$H$64</f>
        <v>1472.3325892857142</v>
      </c>
      <c r="P49" s="586">
        <f>'Greens, KaleCollards'!$H$75</f>
        <v>2572.4594999999999</v>
      </c>
      <c r="Q49" s="586">
        <f>'Greens, Salad'!$H$69</f>
        <v>3166.1039999999998</v>
      </c>
      <c r="R49" s="586">
        <f>'Herbs, Summer Annual'!$H$64</f>
        <v>1451.1309999999999</v>
      </c>
      <c r="S49" s="586">
        <f>Kohlrabi!$H$68</f>
        <v>566.74727388888891</v>
      </c>
      <c r="T49" s="850">
        <f>Leeks!$H$66</f>
        <v>2902.2619999999997</v>
      </c>
      <c r="U49" s="586">
        <f>'Lettuce, Head'!$H$69</f>
        <v>857.48649999999998</v>
      </c>
      <c r="V49" s="586">
        <f>Muskmelon!$H$72</f>
        <v>329.80250000000001</v>
      </c>
      <c r="W49" s="586">
        <f>'Onions, Bulb'!$H$65</f>
        <v>1721.5690500000001</v>
      </c>
      <c r="X49" s="586">
        <f>Peppers!$H$71</f>
        <v>2480.1147999999998</v>
      </c>
      <c r="Y49" s="586">
        <f>Potatoes!$H$67</f>
        <v>808.67572999999993</v>
      </c>
      <c r="Z49" s="586">
        <f>'Potatoes, Sweet'!$H$65</f>
        <v>600.24054999999998</v>
      </c>
      <c r="AA49" s="586">
        <f>'Roots, RadishTurnip'!$H$69</f>
        <v>1523.6875500000001</v>
      </c>
      <c r="AB49" s="586">
        <f>Scallions!$H$64</f>
        <v>3436.54205</v>
      </c>
      <c r="AC49" s="586">
        <f>'Squash, Summer'!$H$68</f>
        <v>3007.7988</v>
      </c>
      <c r="AD49" s="586">
        <f>'Squash, Winter'!$H$71</f>
        <v>422.1472</v>
      </c>
      <c r="AE49" s="586">
        <f>Tomatoes!$H$79</f>
        <v>3271.6407999999997</v>
      </c>
      <c r="AF49" s="586">
        <f>Watermelon!$H$66</f>
        <v>382.57089999999999</v>
      </c>
      <c r="AG49" s="586">
        <f>'You-Pick'!$H$71</f>
        <v>0</v>
      </c>
      <c r="AH49" s="587"/>
    </row>
    <row r="50" spans="1:34" s="575" customFormat="1">
      <c r="A50" s="587"/>
      <c r="B50" s="1161" t="s">
        <v>893</v>
      </c>
      <c r="C50" s="811">
        <f t="shared" si="0"/>
        <v>6.2656727759878486</v>
      </c>
      <c r="D50" s="586">
        <f>'Beans, Green'!$H$67</f>
        <v>49.581466879999994</v>
      </c>
      <c r="E50" s="586">
        <f>Beets!$H$70</f>
        <v>0.13284863512476036</v>
      </c>
      <c r="F50" s="586">
        <f>Broccoli!$H$75</f>
        <v>14.792442634536425</v>
      </c>
      <c r="G50" s="586">
        <f>'Brussels Sprouts'!$H$76</f>
        <v>0.13284863512476036</v>
      </c>
      <c r="H50" s="586">
        <f>Cabbage!$H$75</f>
        <v>14.792442634536425</v>
      </c>
      <c r="I50" s="586">
        <f>Carrots!$H$70</f>
        <v>11.7017950409</v>
      </c>
      <c r="J50" s="586">
        <f>Cauliflower!$H$75</f>
        <v>14.792442634536425</v>
      </c>
      <c r="K50" s="586">
        <f>'Chard, Swiss'!$H$71</f>
        <v>0.39854590537428108</v>
      </c>
      <c r="L50" s="586">
        <f>'Corn, Sweet'!$H$67</f>
        <v>0.13284863512476036</v>
      </c>
      <c r="M50" s="586">
        <f>Cucumbers!$H$69</f>
        <v>1.5941836214971243</v>
      </c>
      <c r="N50" s="586">
        <f>Eggplant!$H$75</f>
        <v>2.1255781619961658</v>
      </c>
      <c r="O50" s="586">
        <f>Garlic!$H$65</f>
        <v>8.8095584394561897</v>
      </c>
      <c r="P50" s="586">
        <f>'Greens, KaleCollards'!$H$76</f>
        <v>0.39854590537428108</v>
      </c>
      <c r="Q50" s="586">
        <f>'Greens, Salad'!$H$70</f>
        <v>0.26569727024952072</v>
      </c>
      <c r="R50" s="586">
        <f>'Herbs, Summer Annual'!$H$65</f>
        <v>0.26569727024952072</v>
      </c>
      <c r="S50" s="586">
        <f>Kohlrabi!$H$69</f>
        <v>0.13284863512476036</v>
      </c>
      <c r="T50" s="850">
        <f>Leeks!$H$67</f>
        <v>0.13284863512476036</v>
      </c>
      <c r="U50" s="586">
        <f>'Lettuce, Head'!$H$70</f>
        <v>0.13284863512476036</v>
      </c>
      <c r="V50" s="586">
        <f>Muskmelon!$H$73</f>
        <v>14.792442634536425</v>
      </c>
      <c r="W50" s="586">
        <f>'Onions, Bulb'!$H$66</f>
        <v>0.13284863512476036</v>
      </c>
      <c r="X50" s="586">
        <f>Peppers!$H$72</f>
        <v>1.0627890809980829</v>
      </c>
      <c r="Y50" s="586">
        <f>Potatoes!$H$68</f>
        <v>9.2867119572494339</v>
      </c>
      <c r="Z50" s="586">
        <f>'Potatoes, Sweet'!$H$66</f>
        <v>8.8095584394561897</v>
      </c>
      <c r="AA50" s="586">
        <f>'Roots, RadishTurnip'!$H$70</f>
        <v>0.13284863512476036</v>
      </c>
      <c r="AB50" s="586">
        <f>Scallions!$H$65</f>
        <v>0.13284863512476036</v>
      </c>
      <c r="AC50" s="586">
        <f>'Squash, Summer'!$H$69</f>
        <v>1.5941836214971243</v>
      </c>
      <c r="AD50" s="586">
        <f>'Squash, Winter'!$H$72</f>
        <v>14.792442634536425</v>
      </c>
      <c r="AE50" s="586">
        <f>Tomatoes!$H$80</f>
        <v>2.1255781619961658</v>
      </c>
      <c r="AF50" s="586">
        <f>Watermelon!$H$67</f>
        <v>14.792442634536425</v>
      </c>
      <c r="AG50" s="586">
        <f>'You-Pick'!$H$72</f>
        <v>0</v>
      </c>
      <c r="AH50" s="587"/>
    </row>
    <row r="51" spans="1:34" s="575" customFormat="1">
      <c r="A51" s="587"/>
      <c r="B51" s="1165"/>
      <c r="C51" s="811"/>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7"/>
    </row>
    <row r="52" spans="1:34" s="583" customFormat="1" ht="12">
      <c r="B52" s="1159" t="s">
        <v>938</v>
      </c>
      <c r="C52" s="811">
        <f t="shared" si="0"/>
        <v>1596.8545883497316</v>
      </c>
      <c r="D52" s="613">
        <f>'Beans, Green'!$H$69</f>
        <v>1194.0833616296945</v>
      </c>
      <c r="E52" s="613">
        <f>Beets!$H$72</f>
        <v>1345.4929510099719</v>
      </c>
      <c r="F52" s="613">
        <f>Broccoli!$H$77</f>
        <v>383.12383993183369</v>
      </c>
      <c r="G52" s="613">
        <f>'Brussels Sprouts'!$H$78</f>
        <v>1715.1058486351246</v>
      </c>
      <c r="H52" s="613">
        <f>Cabbage!$H$77</f>
        <v>634.8211426345365</v>
      </c>
      <c r="I52" s="613">
        <f>Carrots!$H$72</f>
        <v>1063.8589897905949</v>
      </c>
      <c r="J52" s="613">
        <f>Cauliflower!$H$77</f>
        <v>450.13174263453647</v>
      </c>
      <c r="K52" s="613">
        <f>'Chard, Swiss'!$H$73</f>
        <v>3321.2782082026715</v>
      </c>
      <c r="L52" s="613">
        <f>'Corn, Sweet'!$H$69</f>
        <v>376.10769863512479</v>
      </c>
      <c r="M52" s="613">
        <f>Cucumbers!$H$71</f>
        <v>2930.2403836214971</v>
      </c>
      <c r="N52" s="613">
        <f>Eggplant!$H$77</f>
        <v>1690.7143781619961</v>
      </c>
      <c r="O52" s="613">
        <f>Garlic!$H$67</f>
        <v>1481.1421477251704</v>
      </c>
      <c r="P52" s="613">
        <f>'Greens, KaleCollards'!$H$78</f>
        <v>3108.1098027972657</v>
      </c>
      <c r="Q52" s="613">
        <f>'Greens, Salad'!$H$72</f>
        <v>3474.4636813642333</v>
      </c>
      <c r="R52" s="613">
        <f>'Herbs, Summer Annual'!$H$67</f>
        <v>1625.6366072702494</v>
      </c>
      <c r="S52" s="613">
        <f>Kohlrabi!$H$71</f>
        <v>566.8801225240137</v>
      </c>
      <c r="T52" s="613">
        <f>Leeks!$H$69</f>
        <v>2989.5148036351247</v>
      </c>
      <c r="U52" s="613">
        <f>'Lettuce, Head'!$H$72</f>
        <v>948.91664593242206</v>
      </c>
      <c r="V52" s="613">
        <f>Muskmelon!$H$75</f>
        <v>344.59494263453644</v>
      </c>
      <c r="W52" s="613">
        <f>'Onions, Bulb'!$H$68</f>
        <v>1721.7018986351247</v>
      </c>
      <c r="X52" s="613">
        <f>Peppers!$H$74</f>
        <v>2481.1775890809981</v>
      </c>
      <c r="Y52" s="613">
        <f>Potatoes!$H$70</f>
        <v>953.62779910010647</v>
      </c>
      <c r="Z52" s="613">
        <f>'Potatoes, Sweet'!$H$68</f>
        <v>744.7154655823133</v>
      </c>
      <c r="AA52" s="613">
        <f>'Roots, RadishTurnip'!$H$72</f>
        <v>1610.9403986351249</v>
      </c>
      <c r="AB52" s="613">
        <f>Scallions!$H$67</f>
        <v>3523.794853635125</v>
      </c>
      <c r="AC52" s="613">
        <f>'Squash, Summer'!$H$71</f>
        <v>3009.392983621497</v>
      </c>
      <c r="AD52" s="613">
        <f>'Squash, Winter'!$H$74</f>
        <v>436.93964263453643</v>
      </c>
      <c r="AE52" s="613">
        <f>Tomatoes!$H$82</f>
        <v>3381.7663781619958</v>
      </c>
      <c r="AF52" s="613">
        <f>Watermelon!$H$69</f>
        <v>397.36334263453642</v>
      </c>
      <c r="AG52" s="613">
        <f>'You-Pick'!$H$74</f>
        <v>0</v>
      </c>
    </row>
    <row r="53" spans="1:34" s="583" customFormat="1" ht="12">
      <c r="B53" s="1159"/>
      <c r="C53" s="811"/>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row>
    <row r="54" spans="1:34" s="581" customFormat="1" ht="12">
      <c r="B54" s="1166" t="s">
        <v>518</v>
      </c>
      <c r="C54" s="811">
        <f t="shared" si="0"/>
        <v>4095.018065669356</v>
      </c>
      <c r="D54" s="582">
        <f>'Beans, Green'!$H$70</f>
        <v>2825.4735833843715</v>
      </c>
      <c r="E54" s="582">
        <f>Beets!$H$73</f>
        <v>2787.6239594874169</v>
      </c>
      <c r="F54" s="582">
        <f>Broccoli!$H$78</f>
        <v>2733.6680443869286</v>
      </c>
      <c r="G54" s="582">
        <f>'Brussels Sprouts'!$H$79</f>
        <v>4134.4200141392967</v>
      </c>
      <c r="H54" s="582">
        <f>Cabbage!$H$78</f>
        <v>3072.7643547263237</v>
      </c>
      <c r="I54" s="582">
        <f>Carrots!$H$73</f>
        <v>3589.064503578993</v>
      </c>
      <c r="J54" s="582">
        <f>Cauliflower!$H$78</f>
        <v>2923.1807359945374</v>
      </c>
      <c r="K54" s="582">
        <f>'Chard, Swiss'!$H$74</f>
        <v>4799.8088427521434</v>
      </c>
      <c r="L54" s="582">
        <f>'Corn, Sweet'!$H$70</f>
        <v>1785.5401450720444</v>
      </c>
      <c r="M54" s="582">
        <f>Cucumbers!$H$72</f>
        <v>6330.6342654978889</v>
      </c>
      <c r="N54" s="582">
        <f>Eggplant!$H$78</f>
        <v>5837.2234800878186</v>
      </c>
      <c r="O54" s="582">
        <f>Garlic!$H$68</f>
        <v>4479.4892516908703</v>
      </c>
      <c r="P54" s="582">
        <f>'Greens, KaleCollards'!$H$79</f>
        <v>5663.8431072988324</v>
      </c>
      <c r="Q54" s="582">
        <f>'Greens, Salad'!$H$73</f>
        <v>4810.1124436878317</v>
      </c>
      <c r="R54" s="582">
        <f>'Herbs, Summer Annual'!$H$68</f>
        <v>2915.9583014620998</v>
      </c>
      <c r="S54" s="582">
        <f>Kohlrabi!$H$72</f>
        <v>3124.6801950595404</v>
      </c>
      <c r="T54" s="582">
        <f>Leeks!$H$70</f>
        <v>5749.5197684524755</v>
      </c>
      <c r="U54" s="582">
        <f>'Lettuce, Head'!$H$73</f>
        <v>3173.4647584180098</v>
      </c>
      <c r="V54" s="582">
        <f>Muskmelon!$H$76</f>
        <v>3706.5969714244079</v>
      </c>
      <c r="W54" s="582">
        <f>'Onions, Bulb'!$H$69</f>
        <v>4339.1322771918312</v>
      </c>
      <c r="X54" s="582">
        <f>Peppers!$H$75</f>
        <v>6128.4349286642482</v>
      </c>
      <c r="Y54" s="582">
        <f>Potatoes!$H$71</f>
        <v>4816.3287014840398</v>
      </c>
      <c r="Z54" s="582">
        <f>'Potatoes, Sweet'!$H$69</f>
        <v>2691.9341975816001</v>
      </c>
      <c r="AA54" s="582">
        <f>'Roots, RadishTurnip'!$H$73</f>
        <v>2897.2587316626132</v>
      </c>
      <c r="AB54" s="582">
        <f>Scallions!$H$68</f>
        <v>5780.9147134098976</v>
      </c>
      <c r="AC54" s="582">
        <f>'Squash, Summer'!$H$72</f>
        <v>5922.0342768537012</v>
      </c>
      <c r="AD54" s="582">
        <f>'Squash, Winter'!$H$75</f>
        <v>3750.9267147543969</v>
      </c>
      <c r="AE54" s="582">
        <f>Tomatoes!$H$83</f>
        <v>7160.8774707154234</v>
      </c>
      <c r="AF54" s="582">
        <f>Watermelon!$H$70</f>
        <v>2260.3593512427933</v>
      </c>
      <c r="AG54" s="582">
        <f>'You-Pick'!$H$75</f>
        <v>2659.2738799182862</v>
      </c>
    </row>
    <row r="55" spans="1:34" s="573" customFormat="1" ht="12">
      <c r="A55" s="1170"/>
      <c r="B55" s="1167"/>
      <c r="C55" s="816"/>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1170"/>
    </row>
    <row r="56" spans="1:34" s="575" customFormat="1" ht="12">
      <c r="A56" s="587"/>
      <c r="B56" s="1161" t="s">
        <v>509</v>
      </c>
      <c r="C56" s="815"/>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7"/>
    </row>
    <row r="57" spans="1:34" s="575" customFormat="1" ht="12">
      <c r="A57" s="587"/>
      <c r="B57" s="1161" t="s">
        <v>681</v>
      </c>
      <c r="C57" s="811">
        <f t="shared" si="0"/>
        <v>446.0126000006934</v>
      </c>
      <c r="D57" s="586">
        <f>'Beans, Green'!$H$71</f>
        <v>363.45415725543899</v>
      </c>
      <c r="E57" s="586">
        <f>Beets!$H$74</f>
        <v>339.57964551072081</v>
      </c>
      <c r="F57" s="586">
        <f>Broccoli!$H$79</f>
        <v>461.89187037905788</v>
      </c>
      <c r="G57" s="586">
        <f>'Brussels Sprouts'!$H$80</f>
        <v>472.61366496854652</v>
      </c>
      <c r="H57" s="586">
        <f>Cabbage!$H$79</f>
        <v>465.30799098083156</v>
      </c>
      <c r="I57" s="586">
        <f>Carrots!$H$74</f>
        <v>351.1303796768396</v>
      </c>
      <c r="J57" s="586">
        <f>Cauliflower!$H$79</f>
        <v>472.61366496854652</v>
      </c>
      <c r="K57" s="586">
        <f>'Chard, Swiss'!$H$75</f>
        <v>347.08795052686907</v>
      </c>
      <c r="L57" s="586">
        <f>'Corn, Sweet'!$H$71</f>
        <v>332.03010516050313</v>
      </c>
      <c r="M57" s="586">
        <f>Cucumbers!$H$73</f>
        <v>338.71508141258334</v>
      </c>
      <c r="N57" s="586">
        <f>Eggplant!$H$79</f>
        <v>731.523271505975</v>
      </c>
      <c r="O57" s="586">
        <f>Garlic!$H$69</f>
        <v>306.90330265100602</v>
      </c>
      <c r="P57" s="586">
        <f>'Greens, KaleCollards'!$H$80</f>
        <v>448.78693728013178</v>
      </c>
      <c r="Q57" s="586">
        <f>'Greens, Salad'!$H$74</f>
        <v>339.57964551072081</v>
      </c>
      <c r="R57" s="586">
        <f>'Herbs, Summer Annual'!$H$69</f>
        <v>339.78227653915411</v>
      </c>
      <c r="S57" s="586">
        <f>Kohlrabi!$H$73</f>
        <v>401.96383296720529</v>
      </c>
      <c r="T57" s="586">
        <f>Leeks!$H$71</f>
        <v>458.62862554131351</v>
      </c>
      <c r="U57" s="586">
        <f>'Lettuce, Head'!$H$74</f>
        <v>401.96383296720529</v>
      </c>
      <c r="V57" s="586">
        <f>Muskmelon!$H$77</f>
        <v>553.36755992749863</v>
      </c>
      <c r="W57" s="586">
        <f>'Onions, Bulb'!$H$70</f>
        <v>445.52369244238741</v>
      </c>
      <c r="X57" s="586">
        <f>Peppers!$H$76</f>
        <v>728.55732363761706</v>
      </c>
      <c r="Y57" s="586">
        <f>Potatoes!$H$72</f>
        <v>646.27522912621237</v>
      </c>
      <c r="Z57" s="586">
        <f>'Potatoes, Sweet'!$H$70</f>
        <v>570.83930699075938</v>
      </c>
      <c r="AA57" s="586">
        <f>'Roots, RadishTurnip'!$H$74</f>
        <v>302.201487332444</v>
      </c>
      <c r="AB57" s="586">
        <f>Scallions!$H$69</f>
        <v>406.20889314560918</v>
      </c>
      <c r="AC57" s="586">
        <f>'Squash, Summer'!$H$73</f>
        <v>338.71508141258334</v>
      </c>
      <c r="AD57" s="586">
        <f>'Squash, Winter'!$H$76</f>
        <v>658.82000648503686</v>
      </c>
      <c r="AE57" s="586">
        <f>Tomatoes!$H$84</f>
        <v>700.31040059351119</v>
      </c>
      <c r="AF57" s="586">
        <f>Watermelon!$H$71</f>
        <v>302.86243807808057</v>
      </c>
      <c r="AG57" s="586">
        <f>'You-Pick'!$H$76</f>
        <v>353.1403450464129</v>
      </c>
      <c r="AH57" s="587"/>
    </row>
    <row r="58" spans="1:34" s="575" customFormat="1" ht="12">
      <c r="A58" s="587"/>
      <c r="B58" s="1161" t="s">
        <v>682</v>
      </c>
      <c r="C58" s="811">
        <f t="shared" si="0"/>
        <v>24.50858132988731</v>
      </c>
      <c r="D58" s="586">
        <f>'Beans, Green'!$H$72</f>
        <v>509.4044418799358</v>
      </c>
      <c r="E58" s="586">
        <f>Beets!$H$75</f>
        <v>0.73508522727272718</v>
      </c>
      <c r="F58" s="586">
        <f>Broccoli!$H$80</f>
        <v>14.444040020263422</v>
      </c>
      <c r="G58" s="586">
        <f>'Brussels Sprouts'!$H$81</f>
        <v>0.73508522727272718</v>
      </c>
      <c r="H58" s="586">
        <f>Cabbage!$H$80</f>
        <v>14.444040020263422</v>
      </c>
      <c r="I58" s="586">
        <f>Carrots!$H$75</f>
        <v>24.172505221066189</v>
      </c>
      <c r="J58" s="586">
        <f>Cauliflower!$H$80</f>
        <v>14.444040020263422</v>
      </c>
      <c r="K58" s="586">
        <f>'Chard, Swiss'!$H$76</f>
        <v>2.2052556818181817</v>
      </c>
      <c r="L58" s="586">
        <f>'Corn, Sweet'!$H$72</f>
        <v>0.73508522727272718</v>
      </c>
      <c r="M58" s="586">
        <f>Cucumbers!$H$74</f>
        <v>8.8210227272727266</v>
      </c>
      <c r="N58" s="586">
        <f>Eggplant!$H$80</f>
        <v>11.761363636363635</v>
      </c>
      <c r="O58" s="586">
        <f>Garlic!$H$70</f>
        <v>18.313150222617821</v>
      </c>
      <c r="P58" s="586">
        <f>'Greens, KaleCollards'!$H$81</f>
        <v>2.2052556818181817</v>
      </c>
      <c r="Q58" s="586">
        <f>'Greens, Salad'!$H$75</f>
        <v>1.4701704545454544</v>
      </c>
      <c r="R58" s="586">
        <f>'Herbs, Summer Annual'!$H$70</f>
        <v>1.4701704545454544</v>
      </c>
      <c r="S58" s="586">
        <f>Kohlrabi!$H$74</f>
        <v>0.73508522727272718</v>
      </c>
      <c r="T58" s="586">
        <f>Leeks!$H$72</f>
        <v>0.73508522727272718</v>
      </c>
      <c r="U58" s="586">
        <f>'Lettuce, Head'!$H$75</f>
        <v>0.73508522727272718</v>
      </c>
      <c r="V58" s="586">
        <f>Muskmelon!$H$78</f>
        <v>14.444040020263422</v>
      </c>
      <c r="W58" s="586">
        <f>'Onions, Bulb'!$H$71</f>
        <v>0.73508522727272718</v>
      </c>
      <c r="X58" s="586">
        <f>Peppers!$H$77</f>
        <v>5.8806818181818175</v>
      </c>
      <c r="Y58" s="586">
        <f>Potatoes!$H$73</f>
        <v>17.377878365164637</v>
      </c>
      <c r="Z58" s="586">
        <f>'Potatoes, Sweet'!$H$71</f>
        <v>18.313150222617821</v>
      </c>
      <c r="AA58" s="586">
        <f>'Roots, RadishTurnip'!$H$75</f>
        <v>0.73508522727272718</v>
      </c>
      <c r="AB58" s="586">
        <f>Scallions!$H$70</f>
        <v>0.73508522727272718</v>
      </c>
      <c r="AC58" s="586">
        <f>'Squash, Summer'!$H$74</f>
        <v>8.8210227272727266</v>
      </c>
      <c r="AD58" s="586">
        <f>'Squash, Winter'!$H$77</f>
        <v>14.444040020263422</v>
      </c>
      <c r="AE58" s="586">
        <f>Tomatoes!$H$85</f>
        <v>11.761363636363635</v>
      </c>
      <c r="AF58" s="586">
        <f>Watermelon!$H$72</f>
        <v>14.444040020263422</v>
      </c>
      <c r="AG58" s="586">
        <f>'You-Pick'!$H$77</f>
        <v>0</v>
      </c>
      <c r="AH58" s="587"/>
    </row>
    <row r="59" spans="1:34" s="575" customFormat="1" ht="12">
      <c r="A59" s="587"/>
      <c r="B59" s="1168"/>
      <c r="C59" s="815"/>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7"/>
    </row>
    <row r="60" spans="1:34" s="572" customFormat="1" ht="12">
      <c r="A60" s="583"/>
      <c r="B60" s="1161" t="s">
        <v>514</v>
      </c>
      <c r="C60" s="811">
        <f t="shared" si="0"/>
        <v>470.52118133058065</v>
      </c>
      <c r="D60" s="582">
        <f>'Beans, Green'!$H$73</f>
        <v>872.85859913537479</v>
      </c>
      <c r="E60" s="582">
        <f>Beets!$H$76</f>
        <v>340.31473073799356</v>
      </c>
      <c r="F60" s="582">
        <f>Broccoli!$H$81</f>
        <v>476.33591039932128</v>
      </c>
      <c r="G60" s="582">
        <f>'Brussels Sprouts'!$H$82</f>
        <v>473.34875019581926</v>
      </c>
      <c r="H60" s="582">
        <f>Cabbage!$H$81</f>
        <v>479.75203100109496</v>
      </c>
      <c r="I60" s="582">
        <f>Carrots!$H$76</f>
        <v>375.30288489790576</v>
      </c>
      <c r="J60" s="582">
        <f>Cauliflower!$H$81</f>
        <v>487.05770498880992</v>
      </c>
      <c r="K60" s="582">
        <f>'Chard, Swiss'!$H$77</f>
        <v>349.29320620868725</v>
      </c>
      <c r="L60" s="582">
        <f>'Corn, Sweet'!$H$73</f>
        <v>332.76519038777587</v>
      </c>
      <c r="M60" s="582">
        <f>Cucumbers!$H$75</f>
        <v>347.53610413985609</v>
      </c>
      <c r="N60" s="582">
        <f>Eggplant!$H$81</f>
        <v>743.28463514233863</v>
      </c>
      <c r="O60" s="582">
        <f>Garlic!$H$71</f>
        <v>325.21645287362384</v>
      </c>
      <c r="P60" s="582">
        <f>'Greens, KaleCollards'!$H$82</f>
        <v>450.99219296194997</v>
      </c>
      <c r="Q60" s="582">
        <f>'Greens, Salad'!$H$76</f>
        <v>341.04981596526625</v>
      </c>
      <c r="R60" s="582">
        <f>'Herbs, Summer Annual'!$H$71</f>
        <v>341.25244699369955</v>
      </c>
      <c r="S60" s="582">
        <f>Kohlrabi!$H$75</f>
        <v>402.69891819447804</v>
      </c>
      <c r="T60" s="582">
        <f>Leeks!$H$73</f>
        <v>459.36371076858626</v>
      </c>
      <c r="U60" s="582">
        <f>'Lettuce, Head'!$H$76</f>
        <v>402.69891819447804</v>
      </c>
      <c r="V60" s="582">
        <f>Muskmelon!$H$79</f>
        <v>567.81159994776203</v>
      </c>
      <c r="W60" s="582">
        <f>'Onions, Bulb'!$H$72</f>
        <v>446.25877766966016</v>
      </c>
      <c r="X60" s="582">
        <f>Peppers!$H$78</f>
        <v>734.43800545579893</v>
      </c>
      <c r="Y60" s="582">
        <f>Potatoes!$H$74</f>
        <v>663.653107491377</v>
      </c>
      <c r="Z60" s="582">
        <f>'Potatoes, Sweet'!$H$72</f>
        <v>589.15245721337715</v>
      </c>
      <c r="AA60" s="582">
        <f>'Roots, RadishTurnip'!$H$76</f>
        <v>302.93657255971675</v>
      </c>
      <c r="AB60" s="582">
        <f>Scallions!$H$71</f>
        <v>406.94397837288193</v>
      </c>
      <c r="AC60" s="582">
        <f>'Squash, Summer'!$H$75</f>
        <v>347.53610413985609</v>
      </c>
      <c r="AD60" s="582">
        <f>'Squash, Winter'!$H$78</f>
        <v>673.26404650530026</v>
      </c>
      <c r="AE60" s="582">
        <f>Tomatoes!$H$86</f>
        <v>712.07176422987482</v>
      </c>
      <c r="AF60" s="582">
        <f>Watermelon!$H$73</f>
        <v>317.30647809834397</v>
      </c>
      <c r="AG60" s="582">
        <f>'You-Pick'!$H$78</f>
        <v>353.1403450464129</v>
      </c>
      <c r="AH60" s="583"/>
    </row>
    <row r="61" spans="1:34" s="573" customFormat="1" ht="13" thickBot="1">
      <c r="A61" s="1170"/>
      <c r="B61" s="1169"/>
      <c r="C61" s="822"/>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1170"/>
    </row>
    <row r="62" spans="1:34" s="782" customFormat="1">
      <c r="B62" s="1171" t="s">
        <v>515</v>
      </c>
      <c r="C62" s="1172">
        <f t="shared" si="0"/>
        <v>4565.539246999936</v>
      </c>
      <c r="D62" s="1173">
        <f>'Beans, Green'!$H$57</f>
        <v>3698.3321825197468</v>
      </c>
      <c r="E62" s="1174">
        <f>Beets!$H$60</f>
        <v>3127.9386902254105</v>
      </c>
      <c r="F62" s="1174">
        <f>Broccoli!$H$65</f>
        <v>3210.0039547862502</v>
      </c>
      <c r="G62" s="1174">
        <f>'Brussels Sprouts'!$H$66</f>
        <v>4607.7687643351155</v>
      </c>
      <c r="H62" s="1174">
        <f>Cabbage!$H$65</f>
        <v>3552.5163857274183</v>
      </c>
      <c r="I62" s="1174">
        <f>Carrots!$H$60</f>
        <v>3964.3673884768982</v>
      </c>
      <c r="J62" s="1174">
        <f>Cauliflower!$H$65</f>
        <v>3410.2384409833476</v>
      </c>
      <c r="K62" s="1174">
        <f>'Chard, Swiss'!$H$61</f>
        <v>5149.1020489608309</v>
      </c>
      <c r="L62" s="1174">
        <f>'Corn, Sweet'!$H$57</f>
        <v>2118.3053354598201</v>
      </c>
      <c r="M62" s="1174">
        <f>Cucumbers!$H$59</f>
        <v>6678.1703696377463</v>
      </c>
      <c r="N62" s="1174">
        <f>Eggplant!$H$65</f>
        <v>6580.5081152301573</v>
      </c>
      <c r="O62" s="1174">
        <f>Garlic!$H$55</f>
        <v>4804.7057045644942</v>
      </c>
      <c r="P62" s="1174">
        <f>'Greens, KaleCollards'!$H$66</f>
        <v>6114.8353002607819</v>
      </c>
      <c r="Q62" s="1174">
        <f>'Greens, Salad'!$H$60</f>
        <v>5151.1622596530979</v>
      </c>
      <c r="R62" s="1174">
        <f>'Herbs, Summer Annual'!$H$55</f>
        <v>3257.2107484557991</v>
      </c>
      <c r="S62" s="1174">
        <f>Kohlrabi!$H$59</f>
        <v>3527.3791132540186</v>
      </c>
      <c r="T62" s="1174">
        <f>Leeks!$H$57</f>
        <v>6208.8834792210619</v>
      </c>
      <c r="U62" s="1174">
        <f>'Lettuce, Head'!$H$60</f>
        <v>3576.1636766124875</v>
      </c>
      <c r="V62" s="1174">
        <f>Muskmelon!$H$63</f>
        <v>4274.4085713721697</v>
      </c>
      <c r="W62" s="1174">
        <f>'Onions, Bulb'!$H$56</f>
        <v>4785.3910548614913</v>
      </c>
      <c r="X62" s="1174">
        <f>Peppers!$H$62</f>
        <v>6862.8729341200469</v>
      </c>
      <c r="Y62" s="1174">
        <f>Potatoes!$H$58</f>
        <v>5479.9818089754162</v>
      </c>
      <c r="Z62" s="1174">
        <f>'Potatoes, Sweet'!$H$56</f>
        <v>3281.0866547949772</v>
      </c>
      <c r="AA62" s="1174">
        <f>'Roots, RadishTurnip'!$H$60</f>
        <v>3200.1953042223299</v>
      </c>
      <c r="AB62" s="1174">
        <f>Scallions!$H$55</f>
        <v>6187.8586917827788</v>
      </c>
      <c r="AC62" s="1174">
        <f>'Squash, Summer'!$H$59</f>
        <v>6269.5703809935585</v>
      </c>
      <c r="AD62" s="1174">
        <f>'Squash, Winter'!$H$62</f>
        <v>4424.190761259697</v>
      </c>
      <c r="AE62" s="1174">
        <f>Tomatoes!$H$70</f>
        <v>7872.9492349452985</v>
      </c>
      <c r="AF62" s="1174">
        <f>Watermelon!$H$57</f>
        <v>2577.6658293411369</v>
      </c>
      <c r="AG62" s="1174">
        <f>'You-Pick'!$H$62</f>
        <v>3012.4142249646989</v>
      </c>
    </row>
    <row r="63" spans="1:34">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c r="AH64" s="11"/>
    </row>
  </sheetData>
  <sheetProtection sheet="1" objects="1" scenarios="1"/>
  <mergeCells count="1">
    <mergeCell ref="F2:G2"/>
  </mergeCells>
  <hyperlinks>
    <hyperlink ref="F2" location="'Workbook Index'!A1" display="Back to Workbook Index"/>
    <hyperlink ref="G2" location="'Workbook Index'!A1" display="'Workbook Index'!A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83"/>
  <sheetViews>
    <sheetView showGridLines="0" view="pageLayout" topLeftCell="A29" workbookViewId="0">
      <selection activeCell="B40" sqref="B40"/>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Index'!B54</f>
        <v>Watermelon</v>
      </c>
      <c r="C2" s="221"/>
      <c r="D2" s="221"/>
      <c r="E2" s="221"/>
      <c r="I2" s="120"/>
      <c r="J2" s="120"/>
      <c r="K2" s="120"/>
      <c r="L2" s="109"/>
      <c r="M2" s="109"/>
      <c r="N2" s="109"/>
    </row>
    <row r="3" spans="2:19" ht="33.5"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8">
        <f>'BW1-Bed and Row Spacing'!J36</f>
        <v>2074.2857142857142</v>
      </c>
      <c r="F4" s="135"/>
      <c r="G4" s="135"/>
      <c r="H4" s="135"/>
      <c r="I4" s="226"/>
      <c r="J4" s="226"/>
      <c r="K4" s="226"/>
      <c r="L4" s="109"/>
      <c r="M4" s="110"/>
      <c r="N4" s="111"/>
      <c r="O4" s="112"/>
      <c r="P4" s="112"/>
      <c r="Q4" s="112"/>
      <c r="R4" s="112"/>
      <c r="S4" s="112"/>
    </row>
    <row r="5" spans="2:19">
      <c r="B5" s="915"/>
      <c r="C5" s="132" t="s">
        <v>366</v>
      </c>
      <c r="D5" s="916"/>
      <c r="E5" s="1338" t="s">
        <v>839</v>
      </c>
      <c r="F5" s="1338"/>
      <c r="G5" s="1338"/>
      <c r="H5" s="1338"/>
      <c r="M5" s="110"/>
      <c r="N5" s="111"/>
      <c r="O5" s="112"/>
      <c r="P5" s="112"/>
      <c r="Q5" s="112"/>
      <c r="R5" s="112"/>
      <c r="S5" s="112"/>
    </row>
    <row r="6" spans="2:19" ht="14" customHeight="1">
      <c r="B6" s="223"/>
      <c r="C6" s="915"/>
      <c r="D6" s="916"/>
      <c r="E6" s="1338"/>
      <c r="F6" s="1338"/>
      <c r="G6" s="1338"/>
      <c r="H6" s="1338"/>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5" customHeight="1">
      <c r="B11" s="922" t="s">
        <v>181</v>
      </c>
      <c r="C11" s="999"/>
      <c r="D11" s="1000"/>
      <c r="E11" s="1000"/>
      <c r="F11" s="1001"/>
      <c r="G11" s="509"/>
      <c r="H11" s="509"/>
      <c r="I11" s="110"/>
      <c r="J11" s="118"/>
      <c r="K11" s="112"/>
      <c r="L11" s="112"/>
      <c r="M11" s="112"/>
      <c r="N11" s="112"/>
      <c r="O11" s="112"/>
    </row>
    <row r="12" spans="2:19">
      <c r="B12" s="265" t="s">
        <v>145</v>
      </c>
      <c r="C12" s="512">
        <f>'BW2-Field Act. Labor &amp; Mach.'!I9</f>
        <v>9.23447</v>
      </c>
      <c r="D12" s="520">
        <f>'BW2-Field Act. Labor &amp; Mach.'!K9</f>
        <v>7.1626812745625896</v>
      </c>
      <c r="E12" s="520">
        <f>'BW2-Field Act. Labor &amp; Mach.'!L9</f>
        <v>6.5697668891297312</v>
      </c>
      <c r="F12" s="526"/>
      <c r="G12" s="465"/>
      <c r="H12" s="465"/>
      <c r="I12" s="110"/>
      <c r="J12" s="112"/>
      <c r="K12" s="118"/>
      <c r="L12" s="118"/>
      <c r="M12" s="112"/>
      <c r="N12" s="112"/>
      <c r="O12" s="112"/>
    </row>
    <row r="13" spans="2:19">
      <c r="B13" s="132" t="s">
        <v>46</v>
      </c>
      <c r="C13" s="512">
        <f>'BW2-Field Act. Labor &amp; Mach.'!I10</f>
        <v>11.87289</v>
      </c>
      <c r="D13" s="520">
        <f>'BW2-Field Act. Labor &amp; Mach.'!K10</f>
        <v>16.900081383311999</v>
      </c>
      <c r="E13" s="520">
        <f>'BW2-Field Act. Labor &amp; Mach.'!L10</f>
        <v>23.703168100043012</v>
      </c>
      <c r="F13" s="526"/>
      <c r="G13" s="133"/>
      <c r="H13" s="465"/>
      <c r="I13" s="110"/>
      <c r="J13" s="112"/>
      <c r="K13" s="112"/>
      <c r="L13" s="112"/>
      <c r="M13" s="118"/>
      <c r="N13" s="112"/>
      <c r="O13" s="112"/>
    </row>
    <row r="14" spans="2:19">
      <c r="B14" s="151" t="s">
        <v>69</v>
      </c>
      <c r="C14" s="512"/>
      <c r="D14" s="520"/>
      <c r="E14" s="520"/>
      <c r="F14" s="526">
        <f>'BW3-Variable Input'!C9</f>
        <v>116.66666666666667</v>
      </c>
      <c r="G14" s="133"/>
      <c r="H14" s="465"/>
      <c r="I14" s="110"/>
      <c r="J14" s="112"/>
      <c r="K14" s="112"/>
      <c r="L14" s="112"/>
      <c r="M14" s="118"/>
      <c r="N14" s="112"/>
      <c r="O14" s="112"/>
    </row>
    <row r="15" spans="2:19">
      <c r="B15" s="132" t="s">
        <v>11</v>
      </c>
      <c r="C15" s="512">
        <f>'BW2-Field Act. Labor &amp; Mach.'!I13</f>
        <v>22.426569999999998</v>
      </c>
      <c r="D15" s="520">
        <f>'BW2-Field Act. Labor &amp; Mach.'!K13</f>
        <v>17.993866831056</v>
      </c>
      <c r="E15" s="520">
        <f>'BW2-Field Act. Labor &amp; Mach.'!L13</f>
        <v>44.771770188886023</v>
      </c>
      <c r="F15" s="526"/>
      <c r="G15" s="133"/>
      <c r="H15" s="463"/>
      <c r="I15" s="110"/>
      <c r="J15" s="112"/>
      <c r="K15" s="112"/>
      <c r="L15" s="112"/>
      <c r="M15" s="118"/>
      <c r="N15" s="112"/>
      <c r="O15" s="112"/>
    </row>
    <row r="16" spans="2:19">
      <c r="B16" s="132" t="s">
        <v>137</v>
      </c>
      <c r="C16" s="512">
        <f>'BW2-Field Act. Labor &amp; Mach.'!I12</f>
        <v>6.59605</v>
      </c>
      <c r="D16" s="520">
        <f>'BW2-Field Act. Labor &amp; Mach.'!K12</f>
        <v>3.7281613670297151</v>
      </c>
      <c r="E16" s="520">
        <f>'BW2-Field Act. Labor &amp; Mach.'!L12</f>
        <v>3.4161206017736747</v>
      </c>
      <c r="F16" s="526"/>
      <c r="G16" s="133"/>
      <c r="H16" s="465"/>
      <c r="I16" s="110"/>
      <c r="J16" s="112"/>
      <c r="K16" s="112"/>
      <c r="L16" s="112"/>
      <c r="M16" s="118"/>
      <c r="N16" s="112"/>
      <c r="O16" s="112"/>
    </row>
    <row r="17" spans="2:15">
      <c r="B17" s="132" t="s">
        <v>12</v>
      </c>
      <c r="C17" s="512">
        <f>'BW2-Field Act. Labor &amp; Mach.'!I14</f>
        <v>10.55368</v>
      </c>
      <c r="D17" s="520">
        <f>'BW2-Field Act. Labor &amp; Mach.'!K14</f>
        <v>9.2140341759999984</v>
      </c>
      <c r="E17" s="520">
        <f>'BW2-Field Act. Labor &amp; Mach.'!L14</f>
        <v>29.935417361494395</v>
      </c>
      <c r="F17" s="526"/>
      <c r="G17" s="133"/>
      <c r="H17" s="463"/>
      <c r="I17" s="110"/>
      <c r="J17" s="112"/>
      <c r="K17" s="112"/>
      <c r="L17" s="112"/>
      <c r="M17" s="112"/>
      <c r="N17" s="112"/>
      <c r="O17" s="112"/>
    </row>
    <row r="18" spans="2:15">
      <c r="B18" s="132" t="s">
        <v>13</v>
      </c>
      <c r="C18" s="512">
        <f>'BW2-Field Act. Labor &amp; Mach.'!I17</f>
        <v>72.556550000000001</v>
      </c>
      <c r="D18" s="520">
        <f>'BW2-Field Act. Labor &amp; Mach.'!K17</f>
        <v>18.413226025968029</v>
      </c>
      <c r="E18" s="520">
        <f>'BW2-Field Act. Labor &amp; Mach.'!L17</f>
        <v>38.951406687324337</v>
      </c>
      <c r="F18" s="526"/>
      <c r="G18" s="133"/>
      <c r="H18" s="463"/>
      <c r="I18" s="110"/>
      <c r="J18" s="112"/>
      <c r="K18" s="112"/>
      <c r="L18" s="112"/>
      <c r="M18" s="112"/>
      <c r="N18" s="112"/>
      <c r="O18" s="112"/>
    </row>
    <row r="19" spans="2:15">
      <c r="B19" s="151" t="str">
        <f>'BW3-Variable Input'!$B$19</f>
        <v>Plastic mulch for 84" bed spacing</v>
      </c>
      <c r="C19" s="512"/>
      <c r="D19" s="520"/>
      <c r="E19" s="520"/>
      <c r="F19" s="526">
        <f>'BW3-Variable Input'!C19</f>
        <v>77.785714285714278</v>
      </c>
      <c r="G19" s="133"/>
      <c r="H19" s="463"/>
      <c r="I19" s="110"/>
      <c r="J19" s="118"/>
      <c r="K19" s="118"/>
      <c r="L19" s="118"/>
      <c r="M19" s="112"/>
      <c r="N19" s="112"/>
      <c r="O19" s="112"/>
    </row>
    <row r="20" spans="2:15">
      <c r="B20" s="151" t="s">
        <v>313</v>
      </c>
      <c r="C20" s="512"/>
      <c r="D20" s="520"/>
      <c r="E20" s="520"/>
      <c r="F20" s="526">
        <f>'BW3-Variable Input'!C21</f>
        <v>33.880000000000003</v>
      </c>
      <c r="G20" s="133"/>
      <c r="H20" s="463"/>
      <c r="I20" s="110"/>
      <c r="J20" s="112"/>
      <c r="K20" s="112"/>
      <c r="L20" s="112"/>
      <c r="M20" s="112"/>
      <c r="N20" s="112"/>
      <c r="O20" s="112"/>
    </row>
    <row r="21" spans="2:15">
      <c r="B21" s="418" t="s">
        <v>315</v>
      </c>
      <c r="C21" s="513"/>
      <c r="D21" s="521"/>
      <c r="E21" s="521"/>
      <c r="F21" s="527">
        <f>'BW3-Variable Input'!C11</f>
        <v>186</v>
      </c>
      <c r="G21" s="486"/>
      <c r="H21" s="485"/>
      <c r="I21" s="110"/>
      <c r="J21" s="112"/>
      <c r="K21" s="112"/>
      <c r="L21" s="112"/>
      <c r="M21" s="112"/>
      <c r="N21" s="112"/>
      <c r="O21" s="112"/>
    </row>
    <row r="22" spans="2:15">
      <c r="B22" s="132"/>
      <c r="C22" s="133"/>
      <c r="D22" s="133"/>
      <c r="E22" s="133"/>
      <c r="F22" s="133"/>
      <c r="G22" s="133"/>
      <c r="H22" s="466"/>
      <c r="I22" s="110"/>
      <c r="J22" s="112"/>
      <c r="K22" s="112"/>
      <c r="L22" s="112"/>
      <c r="M22" s="112"/>
      <c r="N22" s="112"/>
      <c r="O22" s="112"/>
    </row>
    <row r="23" spans="2:15">
      <c r="B23" s="1014" t="s">
        <v>10</v>
      </c>
      <c r="C23" s="515"/>
      <c r="D23" s="438"/>
      <c r="E23" s="438"/>
      <c r="F23" s="529"/>
      <c r="G23" s="422"/>
      <c r="H23" s="494"/>
      <c r="I23" s="110"/>
      <c r="J23" s="112"/>
      <c r="K23" s="112"/>
      <c r="L23" s="112"/>
      <c r="M23" s="112"/>
      <c r="N23" s="112"/>
      <c r="O23" s="112"/>
    </row>
    <row r="24" spans="2:15">
      <c r="B24" s="132" t="str">
        <f>'BW2-Field Act. Labor &amp; Mach.'!B22</f>
        <v>Transplant on plastic mulch</v>
      </c>
      <c r="C24" s="512">
        <f>'BW2-Field Act. Labor &amp; Mach.'!I22</f>
        <v>131.92099999999999</v>
      </c>
      <c r="D24" s="520">
        <f>'BW2-Field Act. Labor &amp; Mach.'!K22</f>
        <v>36.302136438428491</v>
      </c>
      <c r="E24" s="520">
        <f>'BW2-Field Act. Labor &amp; Mach.'!L22</f>
        <v>41.509045695666089</v>
      </c>
      <c r="F24" s="526"/>
      <c r="G24" s="133"/>
      <c r="H24" s="463"/>
      <c r="I24" s="110"/>
      <c r="J24" s="118"/>
      <c r="K24" s="112"/>
      <c r="L24" s="112"/>
      <c r="M24" s="112"/>
      <c r="N24" s="112"/>
      <c r="O24" s="112"/>
    </row>
    <row r="25" spans="2:15">
      <c r="B25" s="151" t="s">
        <v>685</v>
      </c>
      <c r="C25" s="512"/>
      <c r="D25" s="520"/>
      <c r="E25" s="520"/>
      <c r="F25" s="526">
        <f>'BW4-Transplant Production'!F25</f>
        <v>22.714465714285719</v>
      </c>
      <c r="G25" s="1029" t="s">
        <v>720</v>
      </c>
      <c r="H25" s="465"/>
      <c r="I25" s="110"/>
      <c r="J25" s="118"/>
      <c r="K25" s="112"/>
      <c r="L25" s="112"/>
      <c r="M25" s="112"/>
      <c r="N25" s="112"/>
      <c r="O25" s="112"/>
    </row>
    <row r="26" spans="2:15">
      <c r="B26" s="418" t="s">
        <v>459</v>
      </c>
      <c r="C26" s="513">
        <f>'BW4-Transplant Production'!D25</f>
        <v>129.12758961168984</v>
      </c>
      <c r="D26" s="521"/>
      <c r="E26" s="521"/>
      <c r="F26" s="527">
        <f>'BW4-Transplant Production'!J52</f>
        <v>82.266324942435944</v>
      </c>
      <c r="G26" s="1030" t="s">
        <v>720</v>
      </c>
      <c r="H26" s="1031"/>
      <c r="I26" s="110"/>
      <c r="J26" s="118"/>
      <c r="K26" s="112"/>
      <c r="L26" s="112"/>
      <c r="M26" s="112"/>
      <c r="N26" s="112"/>
      <c r="O26" s="112"/>
    </row>
    <row r="27" spans="2:15">
      <c r="B27" s="132"/>
      <c r="C27" s="133"/>
      <c r="D27" s="133"/>
      <c r="E27" s="133"/>
      <c r="F27" s="133"/>
      <c r="G27" s="133"/>
      <c r="H27" s="466"/>
      <c r="I27" s="110"/>
      <c r="J27" s="112"/>
      <c r="K27" s="112"/>
      <c r="L27" s="112"/>
      <c r="M27" s="112"/>
      <c r="N27" s="112"/>
      <c r="O27" s="112"/>
    </row>
    <row r="28" spans="2:15">
      <c r="B28" s="921" t="s">
        <v>37</v>
      </c>
      <c r="C28" s="515"/>
      <c r="D28" s="438"/>
      <c r="E28" s="438"/>
      <c r="F28" s="529"/>
      <c r="G28" s="422"/>
      <c r="H28" s="494"/>
      <c r="I28" s="110"/>
      <c r="J28" s="112"/>
      <c r="K28" s="112"/>
      <c r="L28" s="112"/>
      <c r="M28" s="112"/>
      <c r="N28" s="112"/>
      <c r="O28" s="112"/>
    </row>
    <row r="29" spans="2:15">
      <c r="B29" s="462" t="s">
        <v>179</v>
      </c>
      <c r="C29" s="512">
        <f>'BW2-Field Act. Labor &amp; Mach.'!$I$31*2</f>
        <v>10.55368</v>
      </c>
      <c r="D29" s="520">
        <f>'BW2-Field Act. Labor &amp; Mach.'!K31*2</f>
        <v>1.6570295666513035</v>
      </c>
      <c r="E29" s="520">
        <f>'BW2-Field Act. Labor &amp; Mach.'!L31*2</f>
        <v>27.363002680965153</v>
      </c>
      <c r="F29" s="526"/>
      <c r="G29" s="133"/>
      <c r="H29" s="133"/>
      <c r="I29" s="110"/>
      <c r="J29" s="112"/>
      <c r="K29" s="118"/>
      <c r="L29" s="112"/>
      <c r="M29" s="112"/>
      <c r="N29" s="112"/>
      <c r="O29" s="112"/>
    </row>
    <row r="30" spans="2:15">
      <c r="B30" s="151" t="str">
        <f>'BW5-Irrigation'!$B$8</f>
        <v>Irrigation supply cost</v>
      </c>
      <c r="C30" s="512"/>
      <c r="D30" s="520"/>
      <c r="E30" s="520"/>
      <c r="F30" s="526">
        <f>'BW5-Irrigation'!$E$8</f>
        <v>32.773534158149545</v>
      </c>
      <c r="G30" s="1029" t="s">
        <v>851</v>
      </c>
      <c r="H30" s="133"/>
      <c r="I30" s="110"/>
      <c r="J30" s="112"/>
      <c r="K30" s="118"/>
      <c r="L30" s="112"/>
      <c r="M30" s="112"/>
      <c r="N30" s="112"/>
      <c r="O30" s="112"/>
    </row>
    <row r="31" spans="2:15">
      <c r="B31" s="132" t="str">
        <f>'BW5-Irrigation'!$B$9</f>
        <v>Irrigation set-up labor cost</v>
      </c>
      <c r="C31" s="512">
        <f>'BW5-Irrigation'!$E$9</f>
        <v>50.735370890410955</v>
      </c>
      <c r="D31" s="520"/>
      <c r="E31" s="520"/>
      <c r="F31" s="526"/>
      <c r="G31" s="1029" t="s">
        <v>851</v>
      </c>
      <c r="H31" s="133"/>
      <c r="I31" s="110"/>
      <c r="J31" s="112"/>
      <c r="K31" s="118"/>
      <c r="L31" s="112"/>
      <c r="M31" s="112"/>
      <c r="N31" s="112"/>
      <c r="O31" s="112"/>
    </row>
    <row r="32" spans="2:15">
      <c r="B32" s="132" t="s">
        <v>294</v>
      </c>
      <c r="C32" s="512">
        <f>'BW2-Field Act. Labor &amp; Mach.'!I39*'BW5-Irrigation'!C41</f>
        <v>158.30520000000001</v>
      </c>
      <c r="D32" s="520"/>
      <c r="E32" s="520"/>
      <c r="F32" s="526"/>
      <c r="G32" s="133"/>
      <c r="H32" s="133"/>
      <c r="I32" s="110"/>
      <c r="J32" s="112"/>
      <c r="K32" s="118"/>
      <c r="L32" s="112"/>
      <c r="M32" s="112"/>
      <c r="N32" s="112"/>
      <c r="O32" s="112"/>
    </row>
    <row r="33" spans="2:19">
      <c r="B33" s="132" t="s">
        <v>346</v>
      </c>
      <c r="C33" s="512">
        <f>'BW2-Field Act. Labor &amp; Mach.'!$I$30*2</f>
        <v>15.83052</v>
      </c>
      <c r="D33" s="520">
        <f>'BW2-Field Act. Labor &amp; Mach.'!K30*2</f>
        <v>3.8005199999999992</v>
      </c>
      <c r="E33" s="520">
        <f>'BW2-Field Act. Labor &amp; Mach.'!L30*2</f>
        <v>13.353658536585364</v>
      </c>
      <c r="F33" s="526"/>
      <c r="G33" s="133"/>
      <c r="H33" s="463"/>
      <c r="I33" s="115"/>
      <c r="J33" s="112"/>
      <c r="K33" s="118"/>
      <c r="L33" s="112"/>
      <c r="M33" s="112"/>
      <c r="N33" s="112"/>
      <c r="O33" s="112"/>
    </row>
    <row r="34" spans="2:19">
      <c r="B34" s="132" t="s">
        <v>191</v>
      </c>
      <c r="C34" s="512">
        <f>'BW2-Field Act. Labor &amp; Mach.'!I34</f>
        <v>98.940749999999994</v>
      </c>
      <c r="D34" s="520"/>
      <c r="E34" s="520"/>
      <c r="F34" s="526"/>
      <c r="G34" s="133"/>
      <c r="H34" s="463"/>
      <c r="I34" s="115"/>
      <c r="J34" s="112"/>
      <c r="K34" s="118"/>
      <c r="L34" s="112"/>
      <c r="M34" s="112"/>
      <c r="N34" s="112"/>
      <c r="O34" s="112"/>
    </row>
    <row r="35" spans="2:19">
      <c r="B35" s="265" t="str">
        <f>'BW2-Field Act. Labor &amp; Mach.'!$B$35</f>
        <v>Handweed plastic mulch holes</v>
      </c>
      <c r="C35" s="512">
        <f>'BW2-Field Act. Labor &amp; Mach.'!$I$35</f>
        <v>65.960499999999996</v>
      </c>
      <c r="D35" s="520"/>
      <c r="E35" s="520"/>
      <c r="F35" s="526"/>
      <c r="G35" s="133"/>
      <c r="H35" s="463"/>
      <c r="I35" s="110"/>
      <c r="J35" s="112"/>
      <c r="K35" s="118"/>
      <c r="L35" s="112"/>
      <c r="M35" s="112"/>
      <c r="N35" s="112"/>
      <c r="O35" s="112"/>
    </row>
    <row r="36" spans="2:19">
      <c r="B36" s="132" t="s">
        <v>328</v>
      </c>
      <c r="C36" s="512">
        <f>'BW2-Field Act. Labor &amp; Mach.'!I37*2</f>
        <v>26.3842</v>
      </c>
      <c r="D36" s="520">
        <f>'BW2-Field Act. Labor &amp; Mach.'!K37*2</f>
        <v>20.364443290520065</v>
      </c>
      <c r="E36" s="520">
        <f>'BW2-Field Act. Labor &amp; Mach.'!L37*2</f>
        <v>26.209866197852165</v>
      </c>
      <c r="F36" s="526"/>
      <c r="G36" s="133"/>
      <c r="H36" s="479"/>
      <c r="I36" s="480"/>
      <c r="J36" s="228"/>
      <c r="K36"/>
      <c r="L36"/>
      <c r="M36"/>
      <c r="N36"/>
      <c r="O36"/>
      <c r="P36"/>
      <c r="Q36"/>
      <c r="R36"/>
      <c r="S36"/>
    </row>
    <row r="37" spans="2:19">
      <c r="B37" s="419" t="s">
        <v>501</v>
      </c>
      <c r="C37" s="513"/>
      <c r="D37" s="521"/>
      <c r="E37" s="521"/>
      <c r="F37" s="527">
        <f>'BW3-Variable Input'!C62</f>
        <v>217.77238542705967</v>
      </c>
      <c r="G37" s="489"/>
      <c r="H37" s="485"/>
      <c r="I37" s="115"/>
      <c r="J37" s="112"/>
      <c r="K37" s="118"/>
      <c r="L37" s="112"/>
      <c r="M37" s="112"/>
      <c r="N37" s="112"/>
      <c r="O37" s="112"/>
    </row>
    <row r="38" spans="2:19" s="453" customFormat="1">
      <c r="B38" s="824" t="s">
        <v>508</v>
      </c>
      <c r="C38" s="444">
        <f>SUM(C12:C21, C24:C26, C29:C37)</f>
        <v>820.99902050210073</v>
      </c>
      <c r="D38" s="444">
        <f>SUM(D12:D21, D24:D26,D29:D37)</f>
        <v>135.53618035352818</v>
      </c>
      <c r="E38" s="444">
        <f>SUM(E12:E21, E24:E26,E29:E37)</f>
        <v>255.78322293971996</v>
      </c>
      <c r="F38" s="444">
        <f>SUM(F12:F21, F24:F26,F29:F37)</f>
        <v>769.85909119431187</v>
      </c>
      <c r="G38" s="445" t="s">
        <v>4</v>
      </c>
      <c r="H38" s="446">
        <f>SUM(C38:F38)</f>
        <v>1982.1775149896607</v>
      </c>
      <c r="I38" s="117"/>
      <c r="J38" s="476"/>
      <c r="K38" s="476"/>
      <c r="L38" s="477"/>
      <c r="M38" s="477"/>
      <c r="N38" s="477"/>
      <c r="O38" s="477"/>
      <c r="P38" s="475"/>
    </row>
    <row r="39" spans="2:19" s="120" customFormat="1" ht="15" customHeight="1">
      <c r="B39" s="593"/>
      <c r="C39" s="133"/>
      <c r="D39" s="133"/>
      <c r="E39" s="133"/>
      <c r="F39" s="133"/>
      <c r="G39" s="924"/>
      <c r="H39" s="265"/>
    </row>
    <row r="40" spans="2:19" s="119" customFormat="1" ht="15" customHeight="1">
      <c r="B40" s="116" t="s">
        <v>914</v>
      </c>
      <c r="C40" s="133"/>
      <c r="D40" s="133"/>
      <c r="E40" s="133"/>
      <c r="F40" s="133"/>
      <c r="G40" s="924"/>
      <c r="H40" s="265"/>
      <c r="I40" s="120"/>
    </row>
    <row r="41" spans="2:19">
      <c r="B41" s="921" t="s">
        <v>3</v>
      </c>
      <c r="C41" s="515"/>
      <c r="D41" s="438"/>
      <c r="E41" s="438"/>
      <c r="F41" s="529"/>
      <c r="G41" s="491"/>
      <c r="H41" s="491"/>
      <c r="I41" s="109"/>
      <c r="J41" s="112"/>
      <c r="K41" s="112"/>
      <c r="L41" s="113"/>
      <c r="M41" s="113"/>
      <c r="N41" s="113"/>
      <c r="O41" s="113"/>
      <c r="P41" s="109"/>
    </row>
    <row r="42" spans="2:19">
      <c r="B42" s="132" t="s">
        <v>621</v>
      </c>
      <c r="C42" s="512">
        <f>'BW6-Harvest and Wash-Pack'!D36+'BW2-Field Act. Labor &amp; Mach.'!I55</f>
        <v>290.22620000000001</v>
      </c>
      <c r="D42" s="520">
        <f>'BW2-Field Act. Labor &amp; Mach.'!K55</f>
        <v>14.792442634536425</v>
      </c>
      <c r="E42" s="520">
        <f>'BW2-Field Act. Labor &amp; Mach.'!L55</f>
        <v>14.444040020263422</v>
      </c>
      <c r="F42" s="526"/>
      <c r="G42" s="1029" t="s">
        <v>852</v>
      </c>
      <c r="H42" s="265"/>
      <c r="I42" s="109"/>
      <c r="J42" s="118"/>
      <c r="K42" s="112"/>
      <c r="L42" s="113"/>
      <c r="M42" s="113"/>
      <c r="N42" s="113"/>
      <c r="O42" s="113"/>
      <c r="P42" s="109"/>
    </row>
    <row r="43" spans="2:19">
      <c r="B43" s="489" t="s">
        <v>349</v>
      </c>
      <c r="C43" s="513">
        <f>'BW6-Harvest and Wash-Pack'!F36</f>
        <v>92.344700000000003</v>
      </c>
      <c r="D43" s="521"/>
      <c r="E43" s="521"/>
      <c r="F43" s="527"/>
      <c r="G43" s="1030" t="s">
        <v>852</v>
      </c>
      <c r="H43" s="492"/>
      <c r="I43" s="109"/>
      <c r="J43" s="118"/>
      <c r="K43" s="112"/>
      <c r="L43" s="113"/>
      <c r="M43" s="113"/>
      <c r="N43" s="113"/>
      <c r="O43" s="113"/>
      <c r="P43" s="109"/>
    </row>
    <row r="44" spans="2:19" s="453" customFormat="1">
      <c r="B44" s="824" t="s">
        <v>508</v>
      </c>
      <c r="C44" s="444">
        <f>SUM(C42:C43)</f>
        <v>382.57089999999999</v>
      </c>
      <c r="D44" s="444">
        <f>SUM(D42:D43)</f>
        <v>14.792442634536425</v>
      </c>
      <c r="E44" s="444">
        <f>SUM(E42:E43)</f>
        <v>14.444040020263422</v>
      </c>
      <c r="F44" s="444">
        <f>SUM(F42:F43)</f>
        <v>0</v>
      </c>
      <c r="G44" s="445" t="s">
        <v>4</v>
      </c>
      <c r="H44" s="446">
        <f>SUM(C44:F44)</f>
        <v>411.80738265479982</v>
      </c>
      <c r="I44" s="117"/>
      <c r="J44" s="476"/>
      <c r="K44" s="476"/>
      <c r="L44" s="477"/>
      <c r="M44" s="477"/>
      <c r="N44" s="477"/>
      <c r="O44" s="477"/>
      <c r="P44" s="475"/>
    </row>
    <row r="45" spans="2:19" s="120" customFormat="1" ht="15" customHeight="1">
      <c r="B45" s="593"/>
      <c r="C45" s="133"/>
      <c r="D45" s="133"/>
      <c r="E45" s="133"/>
      <c r="F45" s="133"/>
      <c r="G45" s="924"/>
      <c r="H45" s="265"/>
    </row>
    <row r="46" spans="2:19" s="119" customFormat="1" ht="15" customHeight="1">
      <c r="B46" s="116" t="s">
        <v>662</v>
      </c>
      <c r="C46" s="133"/>
      <c r="D46" s="133"/>
      <c r="E46" s="133"/>
      <c r="F46" s="133"/>
      <c r="G46" s="924"/>
      <c r="H46" s="265"/>
    </row>
    <row r="47" spans="2:19">
      <c r="B47" s="921" t="s">
        <v>663</v>
      </c>
      <c r="C47" s="515"/>
      <c r="D47" s="438"/>
      <c r="E47" s="438"/>
      <c r="F47" s="529"/>
      <c r="G47" s="494"/>
      <c r="H47" s="494"/>
      <c r="I47" s="110"/>
      <c r="J47" s="112"/>
      <c r="K47" s="112"/>
      <c r="L47" s="113"/>
      <c r="M47" s="113"/>
      <c r="N47" s="113"/>
      <c r="O47" s="113"/>
      <c r="P47" s="109"/>
    </row>
    <row r="48" spans="2:19">
      <c r="B48" s="132" t="s">
        <v>42</v>
      </c>
      <c r="C48" s="512">
        <f>'BW2-Field Act. Labor &amp; Mach.'!$I$62</f>
        <v>10.55368</v>
      </c>
      <c r="D48" s="520">
        <f>'BW2-Field Act. Labor &amp; Mach.'!K62</f>
        <v>8.1859214566429603</v>
      </c>
      <c r="E48" s="520">
        <f>'BW2-Field Act. Labor &amp; Mach.'!L62</f>
        <v>7.508305016148265</v>
      </c>
      <c r="F48" s="526"/>
      <c r="G48" s="463"/>
      <c r="H48" s="463"/>
      <c r="I48" s="110"/>
      <c r="J48" s="112"/>
      <c r="K48" s="112"/>
      <c r="L48" s="113"/>
      <c r="M48" s="113"/>
      <c r="N48" s="113"/>
      <c r="O48" s="113"/>
      <c r="P48" s="109"/>
    </row>
    <row r="49" spans="1:18">
      <c r="B49" s="132" t="s">
        <v>149</v>
      </c>
      <c r="C49" s="512">
        <f>'BW2-Field Act. Labor &amp; Mach.'!$I$63</f>
        <v>7.91526</v>
      </c>
      <c r="D49" s="520">
        <f>'BW2-Field Act. Labor &amp; Mach.'!K63</f>
        <v>6.9413678434651436</v>
      </c>
      <c r="E49" s="520">
        <f>'BW2-Field Act. Labor &amp; Mach.'!L63</f>
        <v>14.062451996276074</v>
      </c>
      <c r="F49" s="526"/>
      <c r="G49" s="463"/>
      <c r="H49" s="463"/>
      <c r="I49" s="115"/>
      <c r="J49" s="118"/>
      <c r="K49" s="112"/>
      <c r="L49" s="113"/>
      <c r="M49" s="113"/>
      <c r="N49" s="113"/>
      <c r="O49" s="113"/>
      <c r="P49" s="109"/>
    </row>
    <row r="50" spans="1:18">
      <c r="B50" s="132" t="s">
        <v>158</v>
      </c>
      <c r="C50" s="512">
        <f>'BW2-Field Act. Labor &amp; Mach.'!$I$64</f>
        <v>26.3842</v>
      </c>
      <c r="D50" s="520">
        <f>'BW2-Field Act. Labor &amp; Mach.'!K64</f>
        <v>4.5434266879999994</v>
      </c>
      <c r="E50" s="520">
        <f>'BW2-Field Act. Labor &amp; Mach.'!L64</f>
        <v>3.8571108546602404</v>
      </c>
      <c r="F50" s="526"/>
      <c r="G50" s="463"/>
      <c r="H50" s="463"/>
      <c r="I50" s="110"/>
      <c r="J50" s="118"/>
      <c r="K50" s="112"/>
      <c r="L50" s="113"/>
      <c r="M50" s="113"/>
      <c r="N50" s="113"/>
      <c r="O50" s="113"/>
      <c r="P50" s="109"/>
    </row>
    <row r="51" spans="1:18">
      <c r="B51" s="132" t="s">
        <v>43</v>
      </c>
      <c r="C51" s="512">
        <f>'BW2-Field Act. Labor &amp; Mach.'!$I$66</f>
        <v>5.27684</v>
      </c>
      <c r="D51" s="520">
        <f>'BW2-Field Act. Labor &amp; Mach.'!K66</f>
        <v>4.7393418269465482</v>
      </c>
      <c r="E51" s="520">
        <f>'BW2-Field Act. Labor &amp; Mach.'!L66</f>
        <v>4.8215303303156709</v>
      </c>
      <c r="F51" s="526"/>
      <c r="G51" s="463"/>
      <c r="H51" s="463"/>
      <c r="I51" s="110"/>
      <c r="J51" s="112"/>
      <c r="K51" s="112"/>
      <c r="L51" s="113"/>
      <c r="M51" s="113"/>
      <c r="N51" s="113"/>
      <c r="O51" s="113"/>
      <c r="P51" s="109"/>
    </row>
    <row r="52" spans="1:18">
      <c r="B52" s="132" t="s">
        <v>44</v>
      </c>
      <c r="C52" s="512">
        <f>'BW2-Field Act. Labor &amp; Mach.'!$I$67</f>
        <v>5.27684</v>
      </c>
      <c r="D52" s="520">
        <f>'BW2-Field Act. Labor &amp; Mach.'!K67</f>
        <v>4.5754035882945541</v>
      </c>
      <c r="E52" s="520">
        <f>'BW2-Field Act. Labor &amp; Mach.'!L67</f>
        <v>8.7882358546602415</v>
      </c>
      <c r="F52" s="526"/>
      <c r="G52" s="463"/>
      <c r="H52" s="463"/>
      <c r="I52" s="110"/>
      <c r="J52" s="112"/>
      <c r="K52" s="112"/>
      <c r="L52" s="113"/>
      <c r="M52" s="113"/>
      <c r="N52" s="113"/>
      <c r="O52" s="113"/>
      <c r="P52" s="109"/>
    </row>
    <row r="53" spans="1:18">
      <c r="B53" s="132" t="s">
        <v>45</v>
      </c>
      <c r="C53" s="512">
        <f>'BW2-Field Act. Labor &amp; Mach.'!$I$69</f>
        <v>14.511310000000002</v>
      </c>
      <c r="D53" s="520">
        <f>'BW2-Field Act. Labor &amp; Mach.'!K69</f>
        <v>5.9046727740142977</v>
      </c>
      <c r="E53" s="520">
        <f>'BW2-Field Act. Labor &amp; Mach.'!L69</f>
        <v>8.041581086300118</v>
      </c>
      <c r="F53" s="526"/>
      <c r="G53" s="463"/>
      <c r="H53" s="463"/>
      <c r="I53" s="110"/>
      <c r="J53" s="112"/>
      <c r="K53" s="112"/>
      <c r="L53" s="113"/>
      <c r="M53" s="113"/>
      <c r="N53" s="113"/>
      <c r="O53" s="113"/>
      <c r="P53" s="109"/>
    </row>
    <row r="54" spans="1:18">
      <c r="B54" s="500" t="str">
        <f>'BW3-Variable Input'!$B$33</f>
        <v>Winter cover crop seed</v>
      </c>
      <c r="C54" s="513"/>
      <c r="D54" s="521"/>
      <c r="E54" s="521"/>
      <c r="F54" s="527">
        <f>'BW3-Variable Input'!$C$33</f>
        <v>31.793452380952385</v>
      </c>
      <c r="G54" s="485"/>
      <c r="H54" s="485"/>
      <c r="I54" s="110"/>
      <c r="J54" s="112"/>
      <c r="K54" s="112"/>
      <c r="L54" s="113"/>
      <c r="M54" s="113"/>
      <c r="N54" s="113"/>
      <c r="O54" s="113"/>
      <c r="P54" s="109"/>
    </row>
    <row r="55" spans="1:18" s="453" customFormat="1">
      <c r="B55" s="824" t="s">
        <v>508</v>
      </c>
      <c r="C55" s="444">
        <f>SUM(C48:C54)</f>
        <v>69.918129999999991</v>
      </c>
      <c r="D55" s="444">
        <f>SUM(D48:D54)</f>
        <v>34.890134177363507</v>
      </c>
      <c r="E55" s="444">
        <f>SUM(E48:E54)</f>
        <v>47.07921513836061</v>
      </c>
      <c r="F55" s="444">
        <f>SUM(F48:F54)</f>
        <v>31.793452380952385</v>
      </c>
      <c r="G55" s="447" t="s">
        <v>4</v>
      </c>
      <c r="H55" s="446">
        <f>SUM(C55:F55)</f>
        <v>183.68093169667648</v>
      </c>
      <c r="I55" s="117"/>
      <c r="J55" s="476"/>
      <c r="K55" s="476"/>
      <c r="L55" s="478"/>
      <c r="M55" s="478"/>
      <c r="N55" s="478"/>
      <c r="O55" s="478"/>
      <c r="P55" s="475"/>
    </row>
    <row r="56" spans="1:18" s="120" customFormat="1">
      <c r="B56" s="593"/>
      <c r="C56" s="133"/>
      <c r="D56" s="133"/>
      <c r="E56" s="133"/>
      <c r="F56" s="133"/>
      <c r="G56" s="463"/>
      <c r="H56" s="463"/>
      <c r="I56" s="115"/>
      <c r="J56" s="825"/>
      <c r="K56" s="127"/>
      <c r="L56" s="113"/>
      <c r="M56" s="113"/>
      <c r="N56" s="113"/>
      <c r="O56" s="113"/>
    </row>
    <row r="57" spans="1:18" s="453" customFormat="1">
      <c r="B57" s="116" t="s">
        <v>515</v>
      </c>
      <c r="C57" s="444">
        <f>C38+C44+C55</f>
        <v>1273.4880505021008</v>
      </c>
      <c r="D57" s="444">
        <f>D38+D44+D55</f>
        <v>185.21875716542812</v>
      </c>
      <c r="E57" s="444">
        <f>E38+E44+E55</f>
        <v>317.30647809834397</v>
      </c>
      <c r="F57" s="444">
        <f>F38+F44+F55</f>
        <v>801.6525435752643</v>
      </c>
      <c r="G57" s="447" t="s">
        <v>4</v>
      </c>
      <c r="H57" s="446">
        <f>SUM(C57:F57)</f>
        <v>2577.6658293411369</v>
      </c>
      <c r="I57" s="117"/>
      <c r="J57" s="476"/>
      <c r="K57" s="476"/>
      <c r="L57" s="478"/>
      <c r="M57" s="478"/>
      <c r="N57" s="478"/>
      <c r="O57" s="478"/>
      <c r="P57" s="475"/>
    </row>
    <row r="58" spans="1:18">
      <c r="B58" s="114"/>
      <c r="C58" s="133"/>
      <c r="D58" s="133"/>
      <c r="E58" s="133"/>
      <c r="F58" s="133"/>
      <c r="G58" s="463"/>
      <c r="H58" s="463"/>
      <c r="I58" s="110"/>
      <c r="J58" s="112"/>
      <c r="K58" s="112"/>
      <c r="L58" s="113"/>
      <c r="M58" s="113"/>
      <c r="N58" s="113"/>
      <c r="O58" s="113"/>
      <c r="P58" s="109"/>
    </row>
    <row r="59" spans="1:18">
      <c r="B59" s="1032"/>
      <c r="C59" s="1033"/>
      <c r="D59" s="1033"/>
      <c r="E59" s="1033"/>
      <c r="F59" s="1033"/>
      <c r="G59" s="1033"/>
      <c r="H59" s="1033"/>
    </row>
    <row r="60" spans="1:18" s="119" customFormat="1" ht="15" customHeight="1">
      <c r="A60" s="440"/>
      <c r="B60" s="828"/>
      <c r="C60" s="462"/>
      <c r="D60" s="462"/>
      <c r="E60" s="462"/>
      <c r="F60" s="462"/>
      <c r="G60" s="462"/>
      <c r="H60" s="462"/>
      <c r="I60" s="30"/>
      <c r="J60" s="30"/>
      <c r="K60" s="30"/>
      <c r="L60" s="30"/>
      <c r="M60" s="30"/>
      <c r="N60" s="30"/>
      <c r="O60" s="30"/>
      <c r="P60" s="30"/>
      <c r="Q60" s="30"/>
      <c r="R60" s="30"/>
    </row>
    <row r="61" spans="1:18">
      <c r="B61" s="116" t="s">
        <v>664</v>
      </c>
      <c r="C61" s="916"/>
      <c r="D61" s="916"/>
      <c r="E61" s="916"/>
      <c r="F61" s="916"/>
      <c r="G61" s="916"/>
      <c r="H61" s="916"/>
    </row>
    <row r="62" spans="1:18">
      <c r="B62" s="985" t="s">
        <v>668</v>
      </c>
      <c r="C62" s="916"/>
      <c r="D62" s="916"/>
      <c r="E62" s="916"/>
      <c r="F62" s="916"/>
      <c r="G62" s="916"/>
      <c r="H62" s="986">
        <f>C38+C55</f>
        <v>890.91715050210075</v>
      </c>
    </row>
    <row r="63" spans="1:18">
      <c r="B63" s="135" t="s">
        <v>667</v>
      </c>
      <c r="C63" s="916"/>
      <c r="D63" s="916"/>
      <c r="E63" s="916"/>
      <c r="F63" s="916"/>
      <c r="G63" s="916"/>
      <c r="H63" s="986">
        <f>D38+D55</f>
        <v>170.42631453089169</v>
      </c>
    </row>
    <row r="64" spans="1:18">
      <c r="B64" s="985" t="s">
        <v>669</v>
      </c>
      <c r="C64" s="916"/>
      <c r="D64" s="916"/>
      <c r="E64" s="916"/>
      <c r="F64" s="916"/>
      <c r="G64" s="916"/>
      <c r="H64" s="986">
        <f>F38+F55</f>
        <v>801.6525435752643</v>
      </c>
    </row>
    <row r="65" spans="2:16">
      <c r="B65" s="831" t="s">
        <v>666</v>
      </c>
      <c r="C65" s="469"/>
      <c r="D65" s="133"/>
      <c r="E65" s="444"/>
      <c r="F65" s="464"/>
      <c r="G65" s="442"/>
      <c r="H65" s="848">
        <f>SUM(H62:H64)</f>
        <v>1862.9960086082569</v>
      </c>
      <c r="I65" s="118"/>
      <c r="J65" s="112"/>
      <c r="K65" s="113"/>
      <c r="L65" s="113"/>
      <c r="M65" s="113"/>
      <c r="N65" s="113"/>
      <c r="O65" s="109"/>
    </row>
    <row r="66" spans="2:16">
      <c r="B66" s="985" t="s">
        <v>680</v>
      </c>
      <c r="C66" s="469"/>
      <c r="D66" s="469"/>
      <c r="E66" s="592"/>
      <c r="F66" s="464"/>
      <c r="G66" s="442"/>
      <c r="H66" s="463">
        <f>C44</f>
        <v>382.57089999999999</v>
      </c>
      <c r="I66" s="112"/>
      <c r="J66" s="112"/>
      <c r="K66" s="113"/>
      <c r="L66" s="113"/>
      <c r="M66" s="113"/>
      <c r="N66" s="113"/>
      <c r="O66" s="109"/>
    </row>
    <row r="67" spans="2:16">
      <c r="B67" s="985" t="s">
        <v>445</v>
      </c>
      <c r="C67" s="469"/>
      <c r="D67" s="469"/>
      <c r="E67" s="469"/>
      <c r="F67" s="132"/>
      <c r="G67" s="442"/>
      <c r="H67" s="463">
        <f>D44</f>
        <v>14.792442634536425</v>
      </c>
      <c r="I67" s="112"/>
      <c r="J67" s="112"/>
      <c r="K67" s="113"/>
      <c r="L67" s="113"/>
      <c r="M67" s="113"/>
      <c r="N67" s="113"/>
      <c r="O67" s="109"/>
    </row>
    <row r="68" spans="2:16">
      <c r="B68" s="985" t="s">
        <v>670</v>
      </c>
      <c r="C68" s="469"/>
      <c r="D68" s="469"/>
      <c r="E68" s="469"/>
      <c r="F68" s="132"/>
      <c r="G68" s="442"/>
      <c r="H68" s="463">
        <f>F44</f>
        <v>0</v>
      </c>
      <c r="I68" s="112"/>
      <c r="J68" s="112"/>
      <c r="K68" s="113"/>
      <c r="L68" s="113"/>
      <c r="M68" s="113"/>
      <c r="N68" s="113"/>
      <c r="O68" s="109"/>
    </row>
    <row r="69" spans="2:16">
      <c r="B69" s="831" t="s">
        <v>671</v>
      </c>
      <c r="C69" s="43"/>
      <c r="D69" s="43"/>
      <c r="E69" s="832"/>
      <c r="F69" s="43"/>
      <c r="G69" s="43"/>
      <c r="H69" s="598">
        <f>SUM(H66:H68)</f>
        <v>397.36334263453642</v>
      </c>
      <c r="I69" s="112"/>
      <c r="J69" s="112"/>
      <c r="K69" s="113"/>
      <c r="L69" s="113"/>
      <c r="M69" s="113"/>
      <c r="N69" s="113"/>
      <c r="O69" s="109"/>
    </row>
    <row r="70" spans="2:16">
      <c r="B70" s="833" t="s">
        <v>513</v>
      </c>
      <c r="C70" s="919"/>
      <c r="D70" s="919"/>
      <c r="E70" s="987"/>
      <c r="F70" s="988"/>
      <c r="G70" s="919"/>
      <c r="H70" s="818">
        <f>H65+H69</f>
        <v>2260.3593512427933</v>
      </c>
      <c r="I70" s="112"/>
      <c r="J70" s="112"/>
      <c r="K70" s="113"/>
      <c r="L70" s="113"/>
      <c r="M70" s="113"/>
      <c r="N70" s="113"/>
      <c r="O70" s="109"/>
    </row>
    <row r="71" spans="2:16">
      <c r="B71" s="985" t="s">
        <v>672</v>
      </c>
      <c r="C71" s="135"/>
      <c r="D71" s="135"/>
      <c r="E71" s="472"/>
      <c r="F71" s="135"/>
      <c r="G71" s="135"/>
      <c r="H71" s="989">
        <f>E38+E55</f>
        <v>302.86243807808057</v>
      </c>
      <c r="I71" s="112"/>
      <c r="J71" s="112"/>
      <c r="K71" s="113"/>
      <c r="L71" s="113"/>
      <c r="M71" s="113"/>
      <c r="N71" s="113"/>
      <c r="O71" s="109"/>
    </row>
    <row r="72" spans="2:16">
      <c r="B72" s="985" t="s">
        <v>673</v>
      </c>
      <c r="C72" s="135"/>
      <c r="D72" s="135"/>
      <c r="E72" s="472"/>
      <c r="F72" s="135"/>
      <c r="G72" s="135"/>
      <c r="H72" s="990">
        <f>E44</f>
        <v>14.444040020263422</v>
      </c>
      <c r="I72" s="112"/>
      <c r="J72" s="112"/>
      <c r="K72" s="113"/>
      <c r="L72" s="113"/>
      <c r="M72" s="113"/>
      <c r="N72" s="113"/>
      <c r="O72" s="109"/>
    </row>
    <row r="73" spans="2:16">
      <c r="B73" s="837" t="s">
        <v>514</v>
      </c>
      <c r="C73" s="919"/>
      <c r="D73" s="919"/>
      <c r="E73" s="987"/>
      <c r="F73" s="988"/>
      <c r="G73" s="919"/>
      <c r="H73" s="819">
        <f>H71+H72</f>
        <v>317.30647809834397</v>
      </c>
      <c r="I73" s="112"/>
      <c r="J73" s="112"/>
      <c r="K73" s="113"/>
      <c r="L73" s="113"/>
      <c r="M73" s="113"/>
      <c r="N73" s="113"/>
      <c r="O73" s="109"/>
    </row>
    <row r="74" spans="2:16">
      <c r="B74" s="829"/>
      <c r="C74" s="469"/>
      <c r="D74" s="469"/>
      <c r="E74" s="469"/>
      <c r="F74" s="132"/>
      <c r="G74" s="442"/>
      <c r="H74" s="442"/>
      <c r="I74" s="112"/>
      <c r="J74" s="112"/>
      <c r="K74" s="113"/>
      <c r="L74" s="113"/>
      <c r="M74" s="113"/>
      <c r="N74" s="113"/>
      <c r="O74" s="109"/>
    </row>
    <row r="75" spans="2:16">
      <c r="B75" s="264"/>
      <c r="C75" s="469"/>
      <c r="D75" s="469"/>
      <c r="E75" s="469"/>
      <c r="F75" s="132"/>
      <c r="G75" s="442"/>
      <c r="H75" s="442"/>
      <c r="I75" s="112"/>
      <c r="J75" s="112"/>
      <c r="K75" s="113"/>
      <c r="L75" s="113"/>
      <c r="M75" s="113"/>
      <c r="N75" s="113"/>
      <c r="O75" s="109"/>
    </row>
    <row r="76" spans="2:16">
      <c r="B76" s="464"/>
      <c r="C76" s="469"/>
      <c r="D76" s="242"/>
      <c r="E76" s="469"/>
      <c r="F76" s="132"/>
      <c r="G76" s="132"/>
      <c r="H76" s="442"/>
      <c r="I76" s="112"/>
      <c r="J76" s="112"/>
      <c r="K76" s="113"/>
      <c r="L76" s="113"/>
      <c r="M76" s="113"/>
      <c r="N76" s="113"/>
      <c r="O76" s="109"/>
    </row>
    <row r="77" spans="2:16">
      <c r="B77" s="464"/>
      <c r="C77" s="469"/>
      <c r="D77" s="133"/>
      <c r="E77" s="469"/>
      <c r="F77" s="132"/>
      <c r="G77" s="442"/>
      <c r="H77" s="442"/>
      <c r="I77" s="112"/>
      <c r="J77" s="112"/>
      <c r="K77" s="113"/>
      <c r="L77" s="113"/>
      <c r="M77" s="113"/>
      <c r="N77" s="113"/>
      <c r="O77" s="109"/>
    </row>
    <row r="78" spans="2:16">
      <c r="B78" s="132"/>
      <c r="C78" s="132"/>
      <c r="D78" s="132"/>
      <c r="E78" s="132"/>
      <c r="F78" s="132"/>
      <c r="G78" s="442"/>
      <c r="H78" s="442"/>
      <c r="I78" s="112"/>
      <c r="J78" s="112"/>
      <c r="K78" s="111"/>
      <c r="L78" s="111"/>
      <c r="M78" s="111"/>
      <c r="N78" s="111"/>
      <c r="O78" s="109"/>
    </row>
    <row r="79" spans="2:16">
      <c r="B79" s="110"/>
      <c r="C79" s="109"/>
      <c r="D79" s="110"/>
      <c r="E79" s="110"/>
      <c r="F79" s="110"/>
      <c r="G79" s="109"/>
      <c r="H79" s="109"/>
      <c r="K79" s="109"/>
      <c r="L79" s="109"/>
      <c r="M79" s="109"/>
      <c r="N79" s="109"/>
      <c r="O79" s="109"/>
    </row>
    <row r="80" spans="2:16">
      <c r="B80" s="110"/>
      <c r="C80" s="109"/>
      <c r="D80" s="110"/>
      <c r="E80" s="110"/>
      <c r="F80" s="110"/>
      <c r="G80" s="110"/>
      <c r="H80" s="109"/>
      <c r="I80" s="110"/>
      <c r="L80" s="109"/>
      <c r="M80" s="109"/>
      <c r="N80" s="109"/>
      <c r="O80" s="109"/>
      <c r="P80" s="109"/>
    </row>
    <row r="81" spans="2:8">
      <c r="B81" s="109"/>
      <c r="C81" s="109"/>
      <c r="D81" s="109"/>
      <c r="E81" s="109"/>
      <c r="F81" s="109"/>
      <c r="G81" s="109"/>
      <c r="H81" s="109"/>
    </row>
    <row r="83" spans="2:8">
      <c r="C83" s="133"/>
      <c r="E83" s="243"/>
      <c r="F83" s="115"/>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81"/>
  <sheetViews>
    <sheetView showGridLines="0" view="pageLayout" topLeftCell="A24" workbookViewId="0">
      <selection activeCell="B45" sqref="B45"/>
    </sheetView>
  </sheetViews>
  <sheetFormatPr baseColWidth="10" defaultColWidth="8.7109375" defaultRowHeight="15" x14ac:dyDescent="0"/>
  <cols>
    <col min="1" max="1" width="1" style="108" customWidth="1"/>
    <col min="2" max="2" width="43.42578125" style="108" customWidth="1"/>
    <col min="3" max="6" width="17.85546875" style="108" customWidth="1"/>
    <col min="7" max="7" width="9" style="108" customWidth="1"/>
    <col min="8" max="8" width="16.7109375" style="108" customWidth="1"/>
    <col min="9" max="9" width="14.7109375" style="108" customWidth="1"/>
    <col min="10" max="10" width="8.42578125" style="108" customWidth="1"/>
    <col min="11" max="11" width="6.85546875" style="108" customWidth="1"/>
    <col min="12" max="12" width="14.42578125" style="108" customWidth="1"/>
    <col min="13" max="14" width="8.7109375" style="108"/>
    <col min="15" max="15" width="12.42578125" style="108" customWidth="1"/>
    <col min="16" max="18" width="8.7109375" style="108"/>
    <col min="19" max="19" width="11.5703125" style="108" customWidth="1"/>
    <col min="20" max="16384" width="8.7109375" style="108"/>
  </cols>
  <sheetData>
    <row r="1" spans="2:19" ht="16" thickBot="1">
      <c r="F1" s="563"/>
      <c r="G1" s="1263" t="s">
        <v>512</v>
      </c>
      <c r="H1" s="1264"/>
    </row>
    <row r="2" spans="2:19" ht="25" customHeight="1">
      <c r="B2" s="1024" t="str">
        <f>'Workbook Index'!B55</f>
        <v>You-Pick</v>
      </c>
      <c r="C2" s="44" t="s">
        <v>922</v>
      </c>
      <c r="D2" s="221"/>
      <c r="E2" s="221"/>
      <c r="I2" s="120"/>
      <c r="J2" s="120"/>
      <c r="K2" s="120"/>
      <c r="L2" s="109"/>
      <c r="M2" s="109"/>
      <c r="N2" s="109"/>
    </row>
    <row r="3" spans="2:19" ht="33.5" customHeight="1">
      <c r="B3" s="1027" t="s">
        <v>716</v>
      </c>
      <c r="C3" s="132" t="s">
        <v>367</v>
      </c>
      <c r="E3" s="222" t="s">
        <v>14</v>
      </c>
      <c r="F3"/>
      <c r="G3"/>
      <c r="H3"/>
      <c r="I3" s="226"/>
      <c r="J3" s="226"/>
      <c r="K3" s="226"/>
      <c r="L3" s="109"/>
      <c r="M3" s="117"/>
      <c r="N3" s="129"/>
      <c r="O3" s="112"/>
      <c r="P3" s="112"/>
      <c r="Q3" s="112"/>
      <c r="R3" s="112"/>
      <c r="S3" s="112"/>
    </row>
    <row r="4" spans="2:19">
      <c r="B4" s="918"/>
      <c r="C4" s="132" t="s">
        <v>47</v>
      </c>
      <c r="D4" s="916"/>
      <c r="E4" s="1068">
        <f>'BW1-Bed and Row Spacing'!J37</f>
        <v>4148.5714285714284</v>
      </c>
      <c r="F4" s="135"/>
      <c r="G4" s="135"/>
      <c r="H4" s="135"/>
      <c r="I4" s="226"/>
      <c r="J4" s="226"/>
      <c r="K4" s="226"/>
      <c r="L4" s="109"/>
      <c r="M4" s="110"/>
      <c r="N4" s="111"/>
      <c r="O4" s="112"/>
      <c r="P4" s="112"/>
      <c r="Q4" s="112"/>
      <c r="R4" s="112"/>
      <c r="S4" s="112"/>
    </row>
    <row r="5" spans="2:19">
      <c r="B5" s="915"/>
      <c r="C5" s="132" t="s">
        <v>366</v>
      </c>
      <c r="D5" s="916"/>
      <c r="E5" s="1338" t="s">
        <v>840</v>
      </c>
      <c r="F5" s="1338"/>
      <c r="G5" s="1338"/>
      <c r="H5" s="1338"/>
      <c r="I5" s="225"/>
      <c r="J5" s="225"/>
      <c r="K5" s="225"/>
      <c r="L5" s="127"/>
      <c r="M5" s="110"/>
      <c r="N5" s="111"/>
      <c r="O5" s="112"/>
      <c r="P5" s="112"/>
      <c r="Q5" s="112"/>
      <c r="R5" s="112"/>
      <c r="S5" s="112"/>
    </row>
    <row r="6" spans="2:19">
      <c r="B6" s="223"/>
      <c r="C6" s="915"/>
      <c r="D6" s="916"/>
      <c r="E6" s="1338"/>
      <c r="F6" s="1338"/>
      <c r="G6" s="1338"/>
      <c r="H6" s="1338"/>
      <c r="I6" s="225"/>
      <c r="J6" s="225"/>
      <c r="K6" s="225"/>
      <c r="L6" s="112"/>
      <c r="M6" s="112"/>
      <c r="N6" s="112"/>
      <c r="O6" s="112"/>
      <c r="P6" s="112"/>
    </row>
    <row r="7" spans="2:19">
      <c r="B7" s="1032"/>
      <c r="C7" s="1033"/>
      <c r="D7" s="1033"/>
      <c r="E7" s="1033"/>
      <c r="F7" s="1033"/>
      <c r="G7" s="1033"/>
      <c r="H7" s="1033"/>
    </row>
    <row r="8" spans="2:19">
      <c r="B8" s="553" t="s">
        <v>517</v>
      </c>
      <c r="C8" s="492"/>
      <c r="D8" s="492"/>
      <c r="E8" s="492"/>
      <c r="F8" s="492"/>
      <c r="G8" s="492"/>
      <c r="H8" s="492"/>
    </row>
    <row r="9" spans="2:19" customFormat="1" ht="33" customHeight="1">
      <c r="B9" s="420" t="s">
        <v>711</v>
      </c>
      <c r="C9" s="421" t="s">
        <v>707</v>
      </c>
      <c r="D9" s="421" t="s">
        <v>708</v>
      </c>
      <c r="E9" s="421" t="s">
        <v>709</v>
      </c>
      <c r="F9" s="421" t="s">
        <v>710</v>
      </c>
      <c r="G9" s="919"/>
      <c r="H9" s="920"/>
      <c r="M9" s="112"/>
      <c r="N9" s="112"/>
      <c r="O9" s="112"/>
      <c r="P9" s="6"/>
      <c r="Q9" s="6"/>
    </row>
    <row r="10" spans="2:19" customFormat="1" ht="30">
      <c r="B10" s="993" t="s">
        <v>516</v>
      </c>
      <c r="C10" s="991" t="s">
        <v>849</v>
      </c>
      <c r="D10" s="991" t="s">
        <v>849</v>
      </c>
      <c r="E10" s="991" t="s">
        <v>849</v>
      </c>
      <c r="F10" s="991" t="s">
        <v>850</v>
      </c>
      <c r="G10" s="992"/>
      <c r="H10" s="462"/>
      <c r="M10" s="112"/>
      <c r="N10" s="112"/>
      <c r="O10" s="6"/>
      <c r="P10" s="6"/>
    </row>
    <row r="11" spans="2:19" ht="15" customHeight="1">
      <c r="B11" s="922" t="s">
        <v>181</v>
      </c>
      <c r="C11" s="999"/>
      <c r="D11" s="1000"/>
      <c r="E11" s="1000"/>
      <c r="F11" s="1001"/>
      <c r="G11" s="509"/>
      <c r="H11" s="509"/>
      <c r="I11" s="110"/>
      <c r="J11" s="118"/>
      <c r="K11" s="112"/>
      <c r="L11" s="112"/>
      <c r="M11" s="112"/>
      <c r="N11" s="112"/>
      <c r="O11" s="112"/>
    </row>
    <row r="12" spans="2:19">
      <c r="B12" s="265" t="s">
        <v>145</v>
      </c>
      <c r="C12" s="512">
        <f>'BW2-Field Act. Labor &amp; Mach.'!I9</f>
        <v>9.23447</v>
      </c>
      <c r="D12" s="520">
        <f>'BW2-Field Act. Labor &amp; Mach.'!K9</f>
        <v>7.1626812745625896</v>
      </c>
      <c r="E12" s="520">
        <f>'BW2-Field Act. Labor &amp; Mach.'!L9</f>
        <v>6.5697668891297312</v>
      </c>
      <c r="F12" s="526"/>
      <c r="G12" s="465"/>
      <c r="H12" s="465"/>
      <c r="I12" s="110"/>
      <c r="J12" s="112"/>
      <c r="K12" s="118"/>
      <c r="L12" s="118"/>
      <c r="M12" s="112"/>
      <c r="N12" s="112"/>
      <c r="O12" s="112"/>
    </row>
    <row r="13" spans="2:19">
      <c r="B13" s="132" t="s">
        <v>46</v>
      </c>
      <c r="C13" s="512">
        <f>'BW2-Field Act. Labor &amp; Mach.'!I10</f>
        <v>11.87289</v>
      </c>
      <c r="D13" s="520">
        <f>'BW2-Field Act. Labor &amp; Mach.'!K10</f>
        <v>16.900081383311999</v>
      </c>
      <c r="E13" s="520">
        <f>'BW2-Field Act. Labor &amp; Mach.'!L10</f>
        <v>23.703168100043012</v>
      </c>
      <c r="F13" s="526"/>
      <c r="G13" s="133"/>
      <c r="H13" s="465"/>
      <c r="I13" s="110"/>
      <c r="J13" s="112"/>
      <c r="K13" s="112"/>
      <c r="L13" s="112"/>
      <c r="M13" s="118"/>
      <c r="N13" s="112"/>
      <c r="O13" s="112"/>
    </row>
    <row r="14" spans="2:19">
      <c r="B14" s="151" t="s">
        <v>69</v>
      </c>
      <c r="C14" s="512"/>
      <c r="D14" s="520"/>
      <c r="E14" s="520"/>
      <c r="F14" s="526">
        <f>'BW3-Variable Input'!C9</f>
        <v>116.66666666666667</v>
      </c>
      <c r="G14" s="133"/>
      <c r="H14" s="465"/>
      <c r="I14" s="110"/>
      <c r="J14" s="112"/>
      <c r="K14" s="112"/>
      <c r="L14" s="112"/>
      <c r="M14" s="118"/>
      <c r="N14" s="112"/>
      <c r="O14" s="112"/>
    </row>
    <row r="15" spans="2:19">
      <c r="B15" s="132" t="s">
        <v>11</v>
      </c>
      <c r="C15" s="512">
        <f>'BW2-Field Act. Labor &amp; Mach.'!I13</f>
        <v>22.426569999999998</v>
      </c>
      <c r="D15" s="520">
        <f>'BW2-Field Act. Labor &amp; Mach.'!K13</f>
        <v>17.993866831056</v>
      </c>
      <c r="E15" s="520">
        <f>'BW2-Field Act. Labor &amp; Mach.'!L13</f>
        <v>44.771770188886023</v>
      </c>
      <c r="F15" s="526"/>
      <c r="G15" s="133"/>
      <c r="H15" s="463"/>
      <c r="I15" s="110"/>
      <c r="J15" s="112"/>
      <c r="K15" s="112"/>
      <c r="L15" s="112"/>
      <c r="M15" s="118"/>
      <c r="N15" s="112"/>
      <c r="O15" s="112"/>
    </row>
    <row r="16" spans="2:19">
      <c r="B16" s="132" t="s">
        <v>12</v>
      </c>
      <c r="C16" s="512">
        <f>'BW2-Field Act. Labor &amp; Mach.'!I14</f>
        <v>10.55368</v>
      </c>
      <c r="D16" s="520">
        <f>'BW2-Field Act. Labor &amp; Mach.'!K14</f>
        <v>9.2140341759999984</v>
      </c>
      <c r="E16" s="520">
        <f>'BW2-Field Act. Labor &amp; Mach.'!L14</f>
        <v>29.935417361494395</v>
      </c>
      <c r="F16" s="526"/>
      <c r="G16" s="133"/>
      <c r="H16" s="463"/>
      <c r="I16" s="110"/>
      <c r="J16" s="112"/>
      <c r="K16" s="112"/>
      <c r="L16" s="112"/>
      <c r="M16" s="112"/>
      <c r="N16" s="112"/>
      <c r="O16" s="112"/>
    </row>
    <row r="17" spans="2:15">
      <c r="B17" s="132" t="s">
        <v>13</v>
      </c>
      <c r="C17" s="512">
        <f>'BW2-Field Act. Labor &amp; Mach.'!I17</f>
        <v>72.556550000000001</v>
      </c>
      <c r="D17" s="520">
        <f>'BW2-Field Act. Labor &amp; Mach.'!K17</f>
        <v>18.413226025968029</v>
      </c>
      <c r="E17" s="520">
        <f>'BW2-Field Act. Labor &amp; Mach.'!L17</f>
        <v>38.951406687324337</v>
      </c>
      <c r="F17" s="526"/>
      <c r="G17" s="133"/>
      <c r="H17" s="463"/>
      <c r="I17" s="110"/>
      <c r="J17" s="112"/>
      <c r="K17" s="112"/>
      <c r="L17" s="112"/>
      <c r="M17" s="112"/>
      <c r="N17" s="112"/>
      <c r="O17" s="112"/>
    </row>
    <row r="18" spans="2:15">
      <c r="B18" s="151" t="str">
        <f>'BW3-Variable Input'!$B$19</f>
        <v>Plastic mulch for 84" bed spacing</v>
      </c>
      <c r="C18" s="512"/>
      <c r="D18" s="520"/>
      <c r="E18" s="520"/>
      <c r="F18" s="526">
        <f>'BW3-Variable Input'!C19</f>
        <v>77.785714285714278</v>
      </c>
      <c r="G18" s="133"/>
      <c r="H18" s="463"/>
      <c r="I18" s="110"/>
      <c r="J18" s="118"/>
      <c r="K18" s="118"/>
      <c r="L18" s="118"/>
      <c r="M18" s="112"/>
      <c r="N18" s="112"/>
      <c r="O18" s="112"/>
    </row>
    <row r="19" spans="2:15">
      <c r="B19" s="151" t="s">
        <v>313</v>
      </c>
      <c r="C19" s="512"/>
      <c r="D19" s="520"/>
      <c r="E19" s="520"/>
      <c r="F19" s="526">
        <f>'BW3-Variable Input'!C21</f>
        <v>33.880000000000003</v>
      </c>
      <c r="G19" s="133"/>
      <c r="H19" s="463"/>
      <c r="I19" s="110"/>
      <c r="J19" s="112"/>
      <c r="K19" s="112"/>
      <c r="L19" s="112"/>
      <c r="M19" s="112"/>
      <c r="N19" s="112"/>
      <c r="O19" s="112"/>
    </row>
    <row r="20" spans="2:15">
      <c r="B20" s="418" t="s">
        <v>315</v>
      </c>
      <c r="C20" s="513"/>
      <c r="D20" s="521"/>
      <c r="E20" s="521"/>
      <c r="F20" s="527">
        <f>'BW3-Variable Input'!C11</f>
        <v>186</v>
      </c>
      <c r="G20" s="486"/>
      <c r="H20" s="485"/>
      <c r="I20" s="110"/>
      <c r="J20" s="112"/>
      <c r="K20" s="112"/>
      <c r="L20" s="112"/>
      <c r="M20" s="112"/>
      <c r="N20" s="112"/>
      <c r="O20" s="112"/>
    </row>
    <row r="21" spans="2:15">
      <c r="B21" s="132"/>
      <c r="C21" s="133"/>
      <c r="D21" s="133"/>
      <c r="E21" s="133"/>
      <c r="F21" s="133"/>
      <c r="G21" s="133"/>
      <c r="H21" s="466"/>
      <c r="I21" s="110"/>
      <c r="J21" s="112"/>
      <c r="K21" s="112"/>
      <c r="L21" s="112"/>
      <c r="M21" s="112"/>
      <c r="N21" s="112"/>
      <c r="O21" s="112"/>
    </row>
    <row r="22" spans="2:15">
      <c r="B22" s="1014" t="s">
        <v>10</v>
      </c>
      <c r="C22" s="515"/>
      <c r="D22" s="438"/>
      <c r="E22" s="438"/>
      <c r="F22" s="529"/>
      <c r="G22" s="422"/>
      <c r="H22" s="494"/>
      <c r="I22" s="110"/>
      <c r="J22" s="112"/>
      <c r="K22" s="112"/>
      <c r="L22" s="112"/>
      <c r="M22" s="112"/>
      <c r="N22" s="112"/>
      <c r="O22" s="112"/>
    </row>
    <row r="23" spans="2:15">
      <c r="B23" s="132" t="str">
        <f>'BW2-Field Act. Labor &amp; Mach.'!B22</f>
        <v>Transplant on plastic mulch</v>
      </c>
      <c r="C23" s="512">
        <f>'BW2-Field Act. Labor &amp; Mach.'!I22</f>
        <v>131.92099999999999</v>
      </c>
      <c r="D23" s="520">
        <f>'BW2-Field Act. Labor &amp; Mach.'!K22</f>
        <v>36.302136438428491</v>
      </c>
      <c r="E23" s="520">
        <f>'BW2-Field Act. Labor &amp; Mach.'!L22</f>
        <v>41.509045695666089</v>
      </c>
      <c r="F23" s="526"/>
      <c r="G23" s="133"/>
      <c r="H23" s="463"/>
      <c r="I23" s="110"/>
      <c r="J23" s="118"/>
      <c r="K23" s="112"/>
      <c r="L23" s="112"/>
      <c r="M23" s="112"/>
      <c r="N23" s="112"/>
      <c r="O23" s="112"/>
    </row>
    <row r="24" spans="2:15">
      <c r="B24" s="151" t="s">
        <v>685</v>
      </c>
      <c r="C24" s="512"/>
      <c r="D24" s="520"/>
      <c r="E24" s="520"/>
      <c r="F24" s="526">
        <f>'BW4-Transplant Production'!F26</f>
        <v>91.965879276895976</v>
      </c>
      <c r="G24" s="1029" t="s">
        <v>720</v>
      </c>
      <c r="H24" s="465"/>
      <c r="I24" s="110"/>
      <c r="J24" s="118"/>
      <c r="K24" s="112"/>
      <c r="L24" s="112"/>
      <c r="M24" s="112"/>
      <c r="N24" s="112"/>
      <c r="O24" s="112"/>
    </row>
    <row r="25" spans="2:15">
      <c r="B25" s="151" t="s">
        <v>459</v>
      </c>
      <c r="C25" s="512">
        <f>'BW4-Transplant Production'!D26</f>
        <v>516.51035844675937</v>
      </c>
      <c r="D25" s="520"/>
      <c r="E25" s="520"/>
      <c r="F25" s="526">
        <f>'BW4-Transplant Production'!E26</f>
        <v>329.06529976974377</v>
      </c>
      <c r="G25" s="1029" t="s">
        <v>720</v>
      </c>
      <c r="H25" s="465"/>
      <c r="I25" s="110"/>
      <c r="J25" s="118"/>
      <c r="K25" s="112"/>
      <c r="L25" s="112"/>
      <c r="M25" s="112"/>
      <c r="N25" s="112"/>
      <c r="O25" s="112"/>
    </row>
    <row r="26" spans="2:15" customFormat="1">
      <c r="B26" s="436" t="str">
        <f>'BW2-Field Act. Labor &amp; Mach.'!B25</f>
        <v>Seed living mulch between plastic beds</v>
      </c>
      <c r="C26" s="532">
        <f>'BW2-Field Act. Labor &amp; Mach.'!I25</f>
        <v>26.3842</v>
      </c>
      <c r="D26" s="535">
        <f>'BW2-Field Act. Labor &amp; Mach.'!K25</f>
        <v>1.5835499999999998</v>
      </c>
      <c r="E26" s="535">
        <f>'BW2-Field Act. Labor &amp; Mach.'!L25</f>
        <v>5.5640243902439019</v>
      </c>
      <c r="F26" s="538"/>
      <c r="G26" s="462"/>
      <c r="H26" s="471"/>
      <c r="I26" s="8"/>
      <c r="J26" s="6"/>
      <c r="K26" s="6"/>
      <c r="L26" s="6"/>
      <c r="M26" s="6"/>
      <c r="N26" s="6"/>
      <c r="O26" s="6"/>
    </row>
    <row r="27" spans="2:15" customFormat="1">
      <c r="B27" s="490" t="str">
        <f>'BW3-Variable Input'!B35</f>
        <v>Living mulch seed</v>
      </c>
      <c r="C27" s="518"/>
      <c r="D27" s="524"/>
      <c r="E27" s="524"/>
      <c r="F27" s="531">
        <v>79.87</v>
      </c>
      <c r="G27" s="488"/>
      <c r="H27" s="484"/>
      <c r="I27" s="8"/>
      <c r="J27" s="6"/>
      <c r="K27" s="6"/>
      <c r="L27" s="6"/>
      <c r="M27" s="6"/>
      <c r="N27" s="6"/>
      <c r="O27" s="6"/>
    </row>
    <row r="28" spans="2:15">
      <c r="B28" s="132"/>
      <c r="C28" s="133"/>
      <c r="D28" s="133"/>
      <c r="E28" s="133"/>
      <c r="F28" s="133"/>
      <c r="G28" s="133"/>
      <c r="H28" s="466"/>
      <c r="I28" s="110"/>
      <c r="J28" s="112"/>
      <c r="K28" s="112"/>
      <c r="L28" s="112"/>
      <c r="M28" s="112"/>
      <c r="N28" s="112"/>
      <c r="O28" s="112"/>
    </row>
    <row r="29" spans="2:15">
      <c r="B29" s="921" t="s">
        <v>37</v>
      </c>
      <c r="C29" s="515"/>
      <c r="D29" s="438"/>
      <c r="E29" s="438"/>
      <c r="F29" s="529"/>
      <c r="G29" s="422"/>
      <c r="H29" s="494"/>
      <c r="I29" s="110"/>
      <c r="J29" s="112"/>
      <c r="K29" s="112"/>
      <c r="L29" s="112"/>
      <c r="M29" s="112"/>
      <c r="N29" s="112"/>
      <c r="O29" s="112"/>
    </row>
    <row r="30" spans="2:15">
      <c r="B30" s="462" t="s">
        <v>179</v>
      </c>
      <c r="C30" s="512">
        <f>'BW2-Field Act. Labor &amp; Mach.'!$I$31*2</f>
        <v>10.55368</v>
      </c>
      <c r="D30" s="520">
        <f>'BW2-Field Act. Labor &amp; Mach.'!K31*2</f>
        <v>1.6570295666513035</v>
      </c>
      <c r="E30" s="520">
        <f>'BW2-Field Act. Labor &amp; Mach.'!L31*2</f>
        <v>27.363002680965153</v>
      </c>
      <c r="F30" s="526"/>
      <c r="G30" s="133"/>
      <c r="H30" s="133"/>
      <c r="I30" s="110"/>
      <c r="J30" s="112"/>
      <c r="K30" s="118"/>
      <c r="L30" s="112"/>
      <c r="M30" s="112"/>
      <c r="N30" s="112"/>
      <c r="O30" s="112"/>
    </row>
    <row r="31" spans="2:15">
      <c r="B31" s="151" t="str">
        <f>'BW5-Irrigation'!$B$8</f>
        <v>Irrigation supply cost</v>
      </c>
      <c r="C31" s="512"/>
      <c r="D31" s="520"/>
      <c r="E31" s="520"/>
      <c r="F31" s="526">
        <f>'BW5-Irrigation'!$E$8</f>
        <v>32.773534158149545</v>
      </c>
      <c r="G31" s="1029" t="s">
        <v>851</v>
      </c>
      <c r="H31" s="133"/>
      <c r="I31" s="110"/>
      <c r="J31" s="112"/>
      <c r="K31" s="118"/>
      <c r="L31" s="112"/>
      <c r="M31" s="112"/>
      <c r="N31" s="112"/>
      <c r="O31" s="112"/>
    </row>
    <row r="32" spans="2:15">
      <c r="B32" s="132" t="str">
        <f>'BW5-Irrigation'!$B$9</f>
        <v>Irrigation set-up labor cost</v>
      </c>
      <c r="C32" s="512">
        <f>'BW5-Irrigation'!$E$9</f>
        <v>50.735370890410955</v>
      </c>
      <c r="D32" s="520"/>
      <c r="E32" s="520"/>
      <c r="F32" s="526"/>
      <c r="G32" s="1029" t="s">
        <v>851</v>
      </c>
      <c r="H32" s="133"/>
      <c r="I32" s="110"/>
      <c r="J32" s="112"/>
      <c r="K32" s="118"/>
      <c r="L32" s="112"/>
      <c r="M32" s="112"/>
      <c r="N32" s="112"/>
      <c r="O32" s="112"/>
    </row>
    <row r="33" spans="2:16">
      <c r="B33" s="132" t="s">
        <v>294</v>
      </c>
      <c r="C33" s="512">
        <f>'BW2-Field Act. Labor &amp; Mach.'!I39*'BW5-Irrigation'!C41</f>
        <v>158.30520000000001</v>
      </c>
      <c r="D33" s="520"/>
      <c r="E33" s="520"/>
      <c r="F33" s="526"/>
      <c r="G33" s="133"/>
      <c r="H33" s="133"/>
      <c r="I33" s="110"/>
      <c r="J33" s="112"/>
      <c r="K33" s="118"/>
      <c r="L33" s="112"/>
      <c r="M33" s="112"/>
      <c r="N33" s="112"/>
      <c r="O33" s="112"/>
    </row>
    <row r="34" spans="2:16">
      <c r="B34" s="132" t="s">
        <v>346</v>
      </c>
      <c r="C34" s="512">
        <f>'BW2-Field Act. Labor &amp; Mach.'!$I$30*2</f>
        <v>15.83052</v>
      </c>
      <c r="D34" s="520">
        <f>'BW2-Field Act. Labor &amp; Mach.'!K30*2</f>
        <v>3.8005199999999992</v>
      </c>
      <c r="E34" s="520">
        <f>'BW2-Field Act. Labor &amp; Mach.'!L30*2</f>
        <v>13.353658536585364</v>
      </c>
      <c r="F34" s="526"/>
      <c r="G34" s="133"/>
      <c r="H34" s="463"/>
      <c r="I34" s="115"/>
      <c r="J34" s="112"/>
      <c r="K34" s="118"/>
      <c r="L34" s="112"/>
      <c r="M34" s="112"/>
      <c r="N34" s="112"/>
      <c r="O34" s="112"/>
    </row>
    <row r="35" spans="2:16">
      <c r="B35" s="132" t="s">
        <v>191</v>
      </c>
      <c r="C35" s="512">
        <f>'BW2-Field Act. Labor &amp; Mach.'!I34</f>
        <v>98.940749999999994</v>
      </c>
      <c r="D35" s="520"/>
      <c r="E35" s="520"/>
      <c r="F35" s="526"/>
      <c r="G35" s="133"/>
      <c r="H35" s="463"/>
      <c r="I35" s="115"/>
      <c r="J35" s="112"/>
      <c r="K35" s="118"/>
      <c r="L35" s="112"/>
      <c r="M35" s="112"/>
      <c r="N35" s="112"/>
      <c r="O35" s="112"/>
    </row>
    <row r="36" spans="2:16">
      <c r="B36" s="265" t="str">
        <f>'BW2-Field Act. Labor &amp; Mach.'!$B$35</f>
        <v>Handweed plastic mulch holes</v>
      </c>
      <c r="C36" s="512">
        <f>'BW2-Field Act. Labor &amp; Mach.'!$I$35</f>
        <v>65.960499999999996</v>
      </c>
      <c r="D36" s="520"/>
      <c r="E36" s="520"/>
      <c r="F36" s="526"/>
      <c r="G36" s="133"/>
      <c r="H36" s="463"/>
      <c r="I36" s="110"/>
      <c r="J36" s="112"/>
      <c r="K36" s="118"/>
      <c r="L36" s="112"/>
      <c r="M36" s="112"/>
      <c r="N36" s="112"/>
      <c r="O36" s="112"/>
    </row>
    <row r="37" spans="2:16" customFormat="1">
      <c r="B37" s="10" t="s">
        <v>463</v>
      </c>
      <c r="C37" s="532">
        <f>'BW2-Field Act. Labor &amp; Mach.'!I49/6</f>
        <v>30.781566666666667</v>
      </c>
      <c r="D37" s="535">
        <f>'BW2-Field Act. Labor &amp; Mach.'!K49/2</f>
        <v>2.8396416799999997</v>
      </c>
      <c r="E37" s="535">
        <f>'BW2-Field Act. Labor &amp; Mach.'!L49/2</f>
        <v>2.4106942841626502</v>
      </c>
      <c r="F37" s="538"/>
      <c r="G37" s="86"/>
      <c r="H37" s="471"/>
      <c r="I37" s="3"/>
      <c r="J37" s="6"/>
      <c r="K37" s="7"/>
      <c r="L37" s="6"/>
      <c r="M37" s="6"/>
      <c r="N37" s="6"/>
      <c r="O37" s="6"/>
    </row>
    <row r="38" spans="2:16" customFormat="1">
      <c r="B38" s="437" t="s">
        <v>460</v>
      </c>
      <c r="C38" s="532"/>
      <c r="D38" s="535"/>
      <c r="E38" s="535"/>
      <c r="F38" s="538">
        <f>'BW3-Variable Input'!C30/6</f>
        <v>17.595416666666669</v>
      </c>
      <c r="G38" s="86"/>
      <c r="H38" s="471"/>
      <c r="I38" s="3"/>
      <c r="J38" s="6"/>
      <c r="K38" s="7"/>
      <c r="L38" s="6"/>
      <c r="M38" s="6"/>
      <c r="N38" s="6"/>
      <c r="O38" s="6"/>
    </row>
    <row r="39" spans="2:16" customFormat="1">
      <c r="B39" s="10" t="s">
        <v>353</v>
      </c>
      <c r="C39" s="532">
        <f>'BW2-Field Act. Labor &amp; Mach.'!I50/6</f>
        <v>30.781566666666667</v>
      </c>
      <c r="D39" s="535"/>
      <c r="E39" s="535"/>
      <c r="F39" s="538"/>
      <c r="G39" s="86"/>
      <c r="H39" s="471"/>
      <c r="I39" s="3"/>
      <c r="J39" s="6"/>
      <c r="K39" s="7"/>
      <c r="L39" s="6"/>
      <c r="M39" s="6"/>
      <c r="N39" s="6"/>
      <c r="O39" s="6"/>
    </row>
    <row r="40" spans="2:16" customFormat="1">
      <c r="B40" s="10" t="s">
        <v>39</v>
      </c>
      <c r="C40" s="532">
        <f>('BW2-Field Act. Labor &amp; Mach.'!I51*8)/6</f>
        <v>87.947333333333333</v>
      </c>
      <c r="D40" s="535"/>
      <c r="E40" s="535"/>
      <c r="F40" s="538"/>
      <c r="G40" s="86"/>
      <c r="H40" s="471"/>
      <c r="I40" s="3"/>
      <c r="J40" s="6"/>
      <c r="K40" s="7"/>
      <c r="L40" s="6"/>
      <c r="M40" s="6"/>
      <c r="N40" s="6"/>
      <c r="O40" s="6"/>
    </row>
    <row r="41" spans="2:16" customFormat="1">
      <c r="B41" s="12" t="s">
        <v>461</v>
      </c>
      <c r="C41" s="532"/>
      <c r="D41" s="535"/>
      <c r="E41" s="535"/>
      <c r="F41" s="538">
        <f>'BW3-Variable Input'!C29/6</f>
        <v>4.9936507936507946</v>
      </c>
      <c r="G41" s="86"/>
      <c r="H41" s="471"/>
      <c r="I41" s="3"/>
      <c r="J41" s="6"/>
      <c r="K41" s="7"/>
      <c r="L41" s="6"/>
      <c r="M41" s="6"/>
      <c r="N41" s="6"/>
      <c r="O41" s="6"/>
    </row>
    <row r="42" spans="2:16" customFormat="1">
      <c r="B42" s="487" t="s">
        <v>159</v>
      </c>
      <c r="C42" s="533">
        <f>'BW2-Field Act. Labor &amp; Mach.'!I33*3</f>
        <v>31.66104</v>
      </c>
      <c r="D42" s="536">
        <f>'BW2-Field Act. Labor &amp; Mach.'!K33*3</f>
        <v>14.904</v>
      </c>
      <c r="E42" s="536">
        <f>'BW2-Field Act. Labor &amp; Mach.'!L33*3</f>
        <v>66.625647668393796</v>
      </c>
      <c r="F42" s="540"/>
      <c r="G42" s="488"/>
      <c r="H42" s="484"/>
      <c r="I42" s="3"/>
      <c r="J42" s="6"/>
      <c r="K42" s="7"/>
      <c r="L42" s="6"/>
      <c r="M42" s="6"/>
      <c r="N42" s="6"/>
      <c r="O42" s="6"/>
    </row>
    <row r="43" spans="2:16" s="453" customFormat="1">
      <c r="B43" s="824" t="s">
        <v>508</v>
      </c>
      <c r="C43" s="444">
        <f>SUM(C12:C20, C23:C27, C30:C42)</f>
        <v>1382.9572460038371</v>
      </c>
      <c r="D43" s="444">
        <f>SUM(D12:D20, D23:D27, D30:D42)</f>
        <v>130.77076737597841</v>
      </c>
      <c r="E43" s="444">
        <f>SUM(E12:E20, E23:E27, E30:E42)</f>
        <v>300.75760248289447</v>
      </c>
      <c r="F43" s="444">
        <f>SUM(F12:F20, F23:F27, F30:F42)</f>
        <v>970.59616161748772</v>
      </c>
      <c r="G43" s="445" t="s">
        <v>4</v>
      </c>
      <c r="H43" s="446">
        <f>SUM(C43:F43)</f>
        <v>2785.0817774801981</v>
      </c>
      <c r="I43" s="117"/>
      <c r="J43" s="476"/>
      <c r="K43" s="476"/>
      <c r="L43" s="477"/>
      <c r="M43" s="477"/>
      <c r="N43" s="477"/>
      <c r="O43" s="477"/>
      <c r="P43" s="475"/>
    </row>
    <row r="44" spans="2:16" s="120" customFormat="1" ht="15" customHeight="1">
      <c r="B44" s="593"/>
      <c r="C44" s="133"/>
      <c r="D44" s="133"/>
      <c r="E44" s="133"/>
      <c r="F44" s="133"/>
      <c r="G44" s="924"/>
      <c r="H44" s="265"/>
    </row>
    <row r="45" spans="2:16" s="119" customFormat="1" ht="15" customHeight="1">
      <c r="B45" s="116" t="s">
        <v>914</v>
      </c>
      <c r="C45" s="486"/>
      <c r="D45" s="486"/>
      <c r="E45" s="486"/>
      <c r="F45" s="486"/>
      <c r="G45" s="542"/>
      <c r="H45" s="492"/>
      <c r="I45" s="120"/>
    </row>
    <row r="46" spans="2:16" s="119" customFormat="1" ht="15" customHeight="1">
      <c r="B46" s="827"/>
      <c r="C46" s="1015"/>
      <c r="D46" s="1015"/>
      <c r="E46" s="1015"/>
      <c r="F46" s="1015"/>
      <c r="G46" s="1016"/>
      <c r="H46" s="1017"/>
      <c r="I46" s="120"/>
    </row>
    <row r="47" spans="2:16" s="453" customFormat="1">
      <c r="B47" s="824" t="s">
        <v>508</v>
      </c>
      <c r="C47" s="444">
        <v>0</v>
      </c>
      <c r="D47" s="444">
        <v>0</v>
      </c>
      <c r="E47" s="444">
        <v>0</v>
      </c>
      <c r="F47" s="444">
        <v>0</v>
      </c>
      <c r="G47" s="445" t="s">
        <v>4</v>
      </c>
      <c r="H47" s="446">
        <f>SUM(C47:F47)</f>
        <v>0</v>
      </c>
      <c r="I47" s="117"/>
      <c r="J47" s="476"/>
      <c r="K47" s="476"/>
      <c r="L47" s="477"/>
      <c r="M47" s="477"/>
      <c r="N47" s="477"/>
      <c r="O47" s="477"/>
      <c r="P47" s="475"/>
    </row>
    <row r="48" spans="2:16" s="120" customFormat="1" ht="15" customHeight="1">
      <c r="B48" s="593"/>
      <c r="C48" s="133"/>
      <c r="D48" s="133"/>
      <c r="E48" s="133"/>
      <c r="F48" s="133"/>
      <c r="G48" s="924"/>
      <c r="H48" s="265"/>
    </row>
    <row r="49" spans="2:16" s="119" customFormat="1" ht="15" customHeight="1">
      <c r="B49" s="116" t="s">
        <v>662</v>
      </c>
      <c r="C49" s="133"/>
      <c r="D49" s="133"/>
      <c r="E49" s="133"/>
      <c r="F49" s="133"/>
      <c r="G49" s="924"/>
      <c r="H49" s="265"/>
    </row>
    <row r="50" spans="2:16">
      <c r="B50" s="921" t="s">
        <v>663</v>
      </c>
      <c r="C50" s="515"/>
      <c r="D50" s="438"/>
      <c r="E50" s="438"/>
      <c r="F50" s="529"/>
      <c r="G50" s="494"/>
      <c r="H50" s="494"/>
      <c r="I50" s="110"/>
      <c r="J50" s="112"/>
      <c r="K50" s="112"/>
      <c r="L50" s="113"/>
      <c r="M50" s="113"/>
      <c r="N50" s="113"/>
      <c r="O50" s="113"/>
      <c r="P50" s="109"/>
    </row>
    <row r="51" spans="2:16" customFormat="1">
      <c r="B51" s="10" t="s">
        <v>40</v>
      </c>
      <c r="C51" s="532">
        <f>'BW2-Field Act. Labor &amp; Mach.'!I71/6</f>
        <v>18.908676666666665</v>
      </c>
      <c r="D51" s="535"/>
      <c r="E51" s="535"/>
      <c r="F51" s="538"/>
      <c r="G51" s="471"/>
      <c r="H51" s="471"/>
      <c r="I51" s="1"/>
      <c r="J51" s="6"/>
      <c r="K51" s="6"/>
      <c r="L51" s="16"/>
      <c r="M51" s="16"/>
      <c r="N51" s="16"/>
      <c r="O51" s="16"/>
      <c r="P51" s="11"/>
    </row>
    <row r="52" spans="2:16" customFormat="1">
      <c r="B52" s="10" t="s">
        <v>41</v>
      </c>
      <c r="C52" s="532">
        <f>'BW2-Field Act. Labor &amp; Mach.'!I72/6</f>
        <v>13.192100000000002</v>
      </c>
      <c r="D52" s="535">
        <f>'BW2-Field Act. Labor &amp; Mach.'!K72/2</f>
        <v>6.2472116959999999</v>
      </c>
      <c r="E52" s="535">
        <f>'BW2-Field Act. Labor &amp; Mach.'!L72/2</f>
        <v>5.3035274251578306</v>
      </c>
      <c r="F52" s="538"/>
      <c r="G52" s="471"/>
      <c r="H52" s="471"/>
      <c r="I52" s="3"/>
      <c r="J52" s="7"/>
      <c r="K52" s="6"/>
      <c r="L52" s="16"/>
      <c r="M52" s="16"/>
      <c r="N52" s="16"/>
      <c r="O52" s="16"/>
      <c r="P52" s="11"/>
    </row>
    <row r="53" spans="2:16">
      <c r="B53" s="132" t="s">
        <v>42</v>
      </c>
      <c r="C53" s="512">
        <f>'BW2-Field Act. Labor &amp; Mach.'!$I$62</f>
        <v>10.55368</v>
      </c>
      <c r="D53" s="520">
        <f>'BW2-Field Act. Labor &amp; Mach.'!K62</f>
        <v>8.1859214566429603</v>
      </c>
      <c r="E53" s="520">
        <f>'BW2-Field Act. Labor &amp; Mach.'!L62</f>
        <v>7.508305016148265</v>
      </c>
      <c r="F53" s="526"/>
      <c r="G53" s="463"/>
      <c r="H53" s="463"/>
      <c r="I53" s="110"/>
      <c r="J53" s="112"/>
      <c r="K53" s="112"/>
      <c r="L53" s="113"/>
      <c r="M53" s="113"/>
      <c r="N53" s="113"/>
      <c r="O53" s="113"/>
      <c r="P53" s="109"/>
    </row>
    <row r="54" spans="2:16">
      <c r="B54" s="132" t="s">
        <v>149</v>
      </c>
      <c r="C54" s="512">
        <f>'BW2-Field Act. Labor &amp; Mach.'!$I$63</f>
        <v>7.91526</v>
      </c>
      <c r="D54" s="520">
        <f>'BW2-Field Act. Labor &amp; Mach.'!K63</f>
        <v>6.9413678434651436</v>
      </c>
      <c r="E54" s="520">
        <f>'BW2-Field Act. Labor &amp; Mach.'!L63</f>
        <v>14.062451996276074</v>
      </c>
      <c r="F54" s="526"/>
      <c r="G54" s="463"/>
      <c r="H54" s="463"/>
      <c r="I54" s="115"/>
      <c r="J54" s="118"/>
      <c r="K54" s="112"/>
      <c r="L54" s="113"/>
      <c r="M54" s="113"/>
      <c r="N54" s="113"/>
      <c r="O54" s="113"/>
      <c r="P54" s="109"/>
    </row>
    <row r="55" spans="2:16">
      <c r="B55" s="132" t="s">
        <v>158</v>
      </c>
      <c r="C55" s="512">
        <f>'BW2-Field Act. Labor &amp; Mach.'!$I$64</f>
        <v>26.3842</v>
      </c>
      <c r="D55" s="520">
        <f>'BW2-Field Act. Labor &amp; Mach.'!K64</f>
        <v>4.5434266879999994</v>
      </c>
      <c r="E55" s="520">
        <f>'BW2-Field Act. Labor &amp; Mach.'!L64</f>
        <v>3.8571108546602404</v>
      </c>
      <c r="F55" s="526"/>
      <c r="G55" s="463"/>
      <c r="H55" s="463"/>
      <c r="I55" s="110"/>
      <c r="J55" s="118"/>
      <c r="K55" s="112"/>
      <c r="L55" s="113"/>
      <c r="M55" s="113"/>
      <c r="N55" s="113"/>
      <c r="O55" s="113"/>
      <c r="P55" s="109"/>
    </row>
    <row r="56" spans="2:16">
      <c r="B56" s="132" t="s">
        <v>43</v>
      </c>
      <c r="C56" s="512">
        <f>'BW2-Field Act. Labor &amp; Mach.'!$I$66</f>
        <v>5.27684</v>
      </c>
      <c r="D56" s="520">
        <f>'BW2-Field Act. Labor &amp; Mach.'!K66</f>
        <v>4.7393418269465482</v>
      </c>
      <c r="E56" s="520">
        <f>'BW2-Field Act. Labor &amp; Mach.'!L66</f>
        <v>4.8215303303156709</v>
      </c>
      <c r="F56" s="526"/>
      <c r="G56" s="463"/>
      <c r="H56" s="463"/>
      <c r="I56" s="110"/>
      <c r="J56" s="112"/>
      <c r="K56" s="112"/>
      <c r="L56" s="113"/>
      <c r="M56" s="113"/>
      <c r="N56" s="113"/>
      <c r="O56" s="113"/>
      <c r="P56" s="109"/>
    </row>
    <row r="57" spans="2:16">
      <c r="B57" s="132" t="s">
        <v>44</v>
      </c>
      <c r="C57" s="512">
        <f>'BW2-Field Act. Labor &amp; Mach.'!$I$67</f>
        <v>5.27684</v>
      </c>
      <c r="D57" s="520">
        <f>'BW2-Field Act. Labor &amp; Mach.'!K67</f>
        <v>4.5754035882945541</v>
      </c>
      <c r="E57" s="520">
        <f>'BW2-Field Act. Labor &amp; Mach.'!L67</f>
        <v>8.7882358546602415</v>
      </c>
      <c r="F57" s="526"/>
      <c r="G57" s="463"/>
      <c r="H57" s="463"/>
      <c r="I57" s="110"/>
      <c r="J57" s="112"/>
      <c r="K57" s="112"/>
      <c r="L57" s="113"/>
      <c r="M57" s="113"/>
      <c r="N57" s="113"/>
      <c r="O57" s="113"/>
      <c r="P57" s="109"/>
    </row>
    <row r="58" spans="2:16">
      <c r="B58" s="132" t="s">
        <v>45</v>
      </c>
      <c r="C58" s="512">
        <f>'BW2-Field Act. Labor &amp; Mach.'!$I$69</f>
        <v>14.511310000000002</v>
      </c>
      <c r="D58" s="520">
        <f>'BW2-Field Act. Labor &amp; Mach.'!K69</f>
        <v>5.9046727740142977</v>
      </c>
      <c r="E58" s="520">
        <f>'BW2-Field Act. Labor &amp; Mach.'!L69</f>
        <v>8.041581086300118</v>
      </c>
      <c r="F58" s="526"/>
      <c r="G58" s="463"/>
      <c r="H58" s="463"/>
      <c r="I58" s="110"/>
      <c r="J58" s="112"/>
      <c r="K58" s="112"/>
      <c r="L58" s="113"/>
      <c r="M58" s="113"/>
      <c r="N58" s="113"/>
      <c r="O58" s="113"/>
      <c r="P58" s="109"/>
    </row>
    <row r="59" spans="2:16">
      <c r="B59" s="500" t="str">
        <f>'BW3-Variable Input'!$B$33</f>
        <v>Winter cover crop seed</v>
      </c>
      <c r="C59" s="513"/>
      <c r="D59" s="521"/>
      <c r="E59" s="521"/>
      <c r="F59" s="527">
        <f>'BW3-Variable Input'!$C$33</f>
        <v>31.793452380952385</v>
      </c>
      <c r="G59" s="485"/>
      <c r="H59" s="485"/>
      <c r="I59" s="110"/>
      <c r="J59" s="112"/>
      <c r="K59" s="112"/>
      <c r="L59" s="113"/>
      <c r="M59" s="113"/>
      <c r="N59" s="113"/>
      <c r="O59" s="113"/>
      <c r="P59" s="109"/>
    </row>
    <row r="60" spans="2:16" s="453" customFormat="1">
      <c r="B60" s="824" t="s">
        <v>508</v>
      </c>
      <c r="C60" s="444">
        <f>SUM(C51:C59)</f>
        <v>102.01890666666665</v>
      </c>
      <c r="D60" s="444">
        <f>SUM(D51:D59)</f>
        <v>41.1373458733635</v>
      </c>
      <c r="E60" s="444">
        <f>SUM(E51:E59)</f>
        <v>52.382742563518441</v>
      </c>
      <c r="F60" s="444">
        <f>SUM(F51:F59)</f>
        <v>31.793452380952385</v>
      </c>
      <c r="G60" s="447" t="s">
        <v>4</v>
      </c>
      <c r="H60" s="446">
        <f>SUM(C60:F60)</f>
        <v>227.33244748450096</v>
      </c>
      <c r="I60" s="117"/>
      <c r="J60" s="476"/>
      <c r="K60" s="476"/>
      <c r="L60" s="478"/>
      <c r="M60" s="478"/>
      <c r="N60" s="478"/>
      <c r="O60" s="478"/>
      <c r="P60" s="475"/>
    </row>
    <row r="61" spans="2:16" s="120" customFormat="1">
      <c r="B61" s="593"/>
      <c r="C61" s="133"/>
      <c r="D61" s="133"/>
      <c r="E61" s="133"/>
      <c r="F61" s="133"/>
      <c r="G61" s="463"/>
      <c r="H61" s="463"/>
      <c r="I61" s="115"/>
      <c r="J61" s="825"/>
      <c r="K61" s="127"/>
      <c r="L61" s="113"/>
      <c r="M61" s="113"/>
      <c r="N61" s="113"/>
      <c r="O61" s="113"/>
    </row>
    <row r="62" spans="2:16" s="453" customFormat="1">
      <c r="B62" s="116" t="s">
        <v>515</v>
      </c>
      <c r="C62" s="444">
        <f>C43+C47+C60</f>
        <v>1484.9761526705038</v>
      </c>
      <c r="D62" s="444">
        <f>D43+D47+D60</f>
        <v>171.90811324934191</v>
      </c>
      <c r="E62" s="444">
        <f>E43+E47+E60</f>
        <v>353.1403450464129</v>
      </c>
      <c r="F62" s="444">
        <f>F43+F47+F60</f>
        <v>1002.3896139984402</v>
      </c>
      <c r="G62" s="447" t="s">
        <v>4</v>
      </c>
      <c r="H62" s="446">
        <f>SUM(C62:F62)</f>
        <v>3012.4142249646989</v>
      </c>
      <c r="I62" s="117"/>
      <c r="J62" s="476"/>
      <c r="K62" s="476"/>
      <c r="L62" s="478"/>
      <c r="M62" s="478"/>
      <c r="N62" s="478"/>
      <c r="O62" s="478"/>
      <c r="P62" s="475"/>
    </row>
    <row r="63" spans="2:16">
      <c r="B63" s="114"/>
      <c r="C63" s="133"/>
      <c r="D63" s="133"/>
      <c r="E63" s="133"/>
      <c r="F63" s="133"/>
      <c r="G63" s="463"/>
      <c r="H63" s="463"/>
      <c r="I63" s="110"/>
      <c r="J63" s="112"/>
      <c r="K63" s="112"/>
      <c r="L63" s="113"/>
      <c r="M63" s="113"/>
      <c r="N63" s="113"/>
      <c r="O63" s="113"/>
      <c r="P63" s="109"/>
    </row>
    <row r="64" spans="2:16">
      <c r="B64" s="1032"/>
      <c r="C64" s="1033"/>
      <c r="D64" s="1033"/>
      <c r="E64" s="1033"/>
      <c r="F64" s="1033"/>
      <c r="G64" s="1033"/>
      <c r="H64" s="1033"/>
    </row>
    <row r="65" spans="2:15">
      <c r="B65" s="916"/>
      <c r="C65" s="916"/>
      <c r="D65" s="916"/>
      <c r="E65" s="916"/>
      <c r="F65" s="916"/>
      <c r="G65" s="916"/>
      <c r="H65" s="916"/>
    </row>
    <row r="66" spans="2:15">
      <c r="B66" s="116" t="s">
        <v>664</v>
      </c>
      <c r="C66" s="916"/>
      <c r="D66" s="916"/>
      <c r="E66" s="916"/>
      <c r="F66" s="916"/>
      <c r="G66" s="916"/>
      <c r="H66" s="916"/>
    </row>
    <row r="67" spans="2:15">
      <c r="B67" s="985" t="s">
        <v>668</v>
      </c>
      <c r="C67" s="916"/>
      <c r="D67" s="916"/>
      <c r="E67" s="916"/>
      <c r="F67" s="916"/>
      <c r="G67" s="916"/>
      <c r="H67" s="986">
        <f>C43+C60</f>
        <v>1484.9761526705038</v>
      </c>
    </row>
    <row r="68" spans="2:15">
      <c r="B68" s="135" t="s">
        <v>667</v>
      </c>
      <c r="C68" s="916"/>
      <c r="D68" s="916"/>
      <c r="E68" s="916"/>
      <c r="F68" s="916"/>
      <c r="G68" s="916"/>
      <c r="H68" s="986">
        <f>D43+D60</f>
        <v>171.90811324934191</v>
      </c>
    </row>
    <row r="69" spans="2:15">
      <c r="B69" s="985" t="s">
        <v>669</v>
      </c>
      <c r="C69" s="469"/>
      <c r="D69" s="133"/>
      <c r="E69" s="444"/>
      <c r="F69" s="464"/>
      <c r="G69" s="442"/>
      <c r="H69" s="463">
        <f>F43+F60</f>
        <v>1002.3896139984402</v>
      </c>
      <c r="I69" s="118"/>
      <c r="J69" s="112"/>
      <c r="K69" s="113"/>
      <c r="L69" s="113"/>
      <c r="M69" s="113"/>
      <c r="N69" s="113"/>
      <c r="O69" s="109"/>
    </row>
    <row r="70" spans="2:15">
      <c r="B70" s="831" t="s">
        <v>666</v>
      </c>
      <c r="C70" s="469"/>
      <c r="D70" s="469"/>
      <c r="E70" s="592"/>
      <c r="F70" s="464"/>
      <c r="G70" s="442"/>
      <c r="H70" s="848">
        <f>SUM(H67:H69)</f>
        <v>2659.2738799182862</v>
      </c>
      <c r="I70" s="112"/>
      <c r="J70" s="112"/>
      <c r="K70" s="113"/>
      <c r="L70" s="113"/>
      <c r="M70" s="113"/>
      <c r="N70" s="113"/>
      <c r="O70" s="109"/>
    </row>
    <row r="71" spans="2:15">
      <c r="B71" s="985" t="s">
        <v>680</v>
      </c>
      <c r="C71" s="469"/>
      <c r="D71" s="469"/>
      <c r="E71" s="469"/>
      <c r="F71" s="132"/>
      <c r="G71" s="442"/>
      <c r="H71" s="463">
        <f>C47</f>
        <v>0</v>
      </c>
      <c r="I71" s="112"/>
      <c r="J71" s="112"/>
      <c r="K71" s="113"/>
      <c r="L71" s="113"/>
      <c r="M71" s="113"/>
      <c r="N71" s="113"/>
      <c r="O71" s="109"/>
    </row>
    <row r="72" spans="2:15">
      <c r="B72" s="985" t="s">
        <v>445</v>
      </c>
      <c r="C72" s="469"/>
      <c r="D72" s="469"/>
      <c r="E72" s="469"/>
      <c r="F72" s="132"/>
      <c r="G72" s="442"/>
      <c r="H72" s="463">
        <f>D47</f>
        <v>0</v>
      </c>
      <c r="I72" s="112"/>
      <c r="J72" s="112"/>
      <c r="K72" s="113"/>
      <c r="L72" s="113"/>
      <c r="M72" s="113"/>
      <c r="N72" s="113"/>
      <c r="O72" s="109"/>
    </row>
    <row r="73" spans="2:15">
      <c r="B73" s="985" t="s">
        <v>670</v>
      </c>
      <c r="C73" s="469"/>
      <c r="D73" s="444"/>
      <c r="E73" s="469"/>
      <c r="F73" s="132"/>
      <c r="G73" s="132"/>
      <c r="H73" s="463">
        <f>F47</f>
        <v>0</v>
      </c>
      <c r="I73" s="112"/>
      <c r="J73" s="112"/>
      <c r="K73" s="113"/>
      <c r="L73" s="113"/>
      <c r="M73" s="113"/>
      <c r="N73" s="113"/>
      <c r="O73" s="109"/>
    </row>
    <row r="74" spans="2:15">
      <c r="B74" s="831" t="s">
        <v>671</v>
      </c>
      <c r="C74" s="43"/>
      <c r="D74" s="43"/>
      <c r="E74" s="832"/>
      <c r="F74" s="43"/>
      <c r="G74" s="43"/>
      <c r="H74" s="598">
        <f>SUM(H71:H73)</f>
        <v>0</v>
      </c>
      <c r="I74" s="112"/>
      <c r="J74" s="112"/>
      <c r="K74" s="113"/>
      <c r="L74" s="113"/>
      <c r="M74" s="113"/>
      <c r="N74" s="113"/>
      <c r="O74" s="109"/>
    </row>
    <row r="75" spans="2:15">
      <c r="B75" s="833" t="s">
        <v>513</v>
      </c>
      <c r="C75" s="919"/>
      <c r="D75" s="919"/>
      <c r="E75" s="987"/>
      <c r="F75" s="988"/>
      <c r="G75" s="919"/>
      <c r="H75" s="818">
        <f>H70+H74</f>
        <v>2659.2738799182862</v>
      </c>
      <c r="I75" s="112"/>
      <c r="J75" s="112"/>
      <c r="K75" s="113"/>
      <c r="L75" s="113"/>
      <c r="M75" s="113"/>
      <c r="N75" s="113"/>
      <c r="O75" s="109"/>
    </row>
    <row r="76" spans="2:15">
      <c r="B76" s="985" t="s">
        <v>672</v>
      </c>
      <c r="C76" s="135"/>
      <c r="D76" s="135"/>
      <c r="E76" s="472"/>
      <c r="F76" s="135"/>
      <c r="G76" s="135"/>
      <c r="H76" s="989">
        <f>E43+E60</f>
        <v>353.1403450464129</v>
      </c>
      <c r="I76" s="112"/>
      <c r="J76" s="112"/>
      <c r="K76" s="113"/>
      <c r="L76" s="113"/>
      <c r="M76" s="113"/>
      <c r="N76" s="113"/>
      <c r="O76" s="109"/>
    </row>
    <row r="77" spans="2:15">
      <c r="B77" s="985" t="s">
        <v>673</v>
      </c>
      <c r="C77" s="135"/>
      <c r="D77" s="135"/>
      <c r="E77" s="472"/>
      <c r="F77" s="135"/>
      <c r="G77" s="135"/>
      <c r="H77" s="990">
        <f>E47</f>
        <v>0</v>
      </c>
      <c r="I77" s="112"/>
      <c r="J77" s="112"/>
      <c r="K77" s="113"/>
      <c r="L77" s="113"/>
      <c r="M77" s="113"/>
      <c r="N77" s="113"/>
      <c r="O77" s="109"/>
    </row>
    <row r="78" spans="2:15">
      <c r="B78" s="837" t="s">
        <v>514</v>
      </c>
      <c r="C78" s="919"/>
      <c r="D78" s="919"/>
      <c r="E78" s="987"/>
      <c r="F78" s="988"/>
      <c r="G78" s="919"/>
      <c r="H78" s="819">
        <f>H76+H77</f>
        <v>353.1403450464129</v>
      </c>
      <c r="I78" s="112"/>
      <c r="J78" s="112"/>
      <c r="K78" s="113"/>
      <c r="L78" s="113"/>
      <c r="M78" s="113"/>
      <c r="N78" s="113"/>
      <c r="O78" s="109"/>
    </row>
    <row r="79" spans="2:15">
      <c r="B79" s="264"/>
      <c r="C79" s="469"/>
      <c r="D79" s="444"/>
      <c r="E79" s="469"/>
      <c r="F79" s="132"/>
      <c r="G79" s="132"/>
      <c r="H79" s="442"/>
      <c r="I79" s="112"/>
      <c r="J79" s="112"/>
      <c r="K79" s="113"/>
      <c r="L79" s="113"/>
      <c r="M79" s="113"/>
      <c r="N79" s="113"/>
      <c r="O79" s="109"/>
    </row>
    <row r="80" spans="2:15">
      <c r="B80" s="132"/>
      <c r="C80" s="469"/>
      <c r="D80" s="469"/>
      <c r="E80" s="469"/>
      <c r="F80" s="132"/>
      <c r="G80" s="442"/>
      <c r="H80" s="442"/>
      <c r="I80" s="112"/>
      <c r="J80" s="112"/>
      <c r="K80" s="111"/>
      <c r="L80" s="111"/>
      <c r="M80" s="111"/>
      <c r="N80" s="111"/>
      <c r="O80" s="109"/>
    </row>
    <row r="81" spans="2:15">
      <c r="B81" s="132"/>
      <c r="C81" s="132"/>
      <c r="D81" s="132"/>
      <c r="E81" s="132"/>
      <c r="F81" s="132"/>
      <c r="G81" s="442"/>
      <c r="H81" s="442"/>
      <c r="I81" s="112"/>
      <c r="J81" s="112"/>
      <c r="K81" s="111"/>
      <c r="L81" s="111"/>
      <c r="M81" s="111"/>
      <c r="N81" s="111"/>
      <c r="O81" s="109"/>
    </row>
  </sheetData>
  <sheetProtection sheet="1" objects="1" scenarios="1"/>
  <mergeCells count="2">
    <mergeCell ref="E5:H6"/>
    <mergeCell ref="G1:H1"/>
  </mergeCells>
  <phoneticPr fontId="15" type="noConversion"/>
  <hyperlinks>
    <hyperlink ref="G1" location="'Workbook Index'!A1" display="Back to Workbook Index"/>
    <hyperlink ref="H1" location="'Workbook Index'!A1" display="'Workbook Index'!A1"/>
  </hyperlinks>
  <pageMargins left="0.25" right="0.25" top="0.5" bottom="0.25" header="0.5" footer="0.5"/>
  <pageSetup scale="58" orientation="portrait" verticalDpi="0"/>
  <extLst>
    <ext xmlns:mx="http://schemas.microsoft.com/office/mac/excel/2008/main" uri="{64002731-A6B0-56B0-2670-7721B7C09600}">
      <mx:PLV Mode="1" OnePage="0" WScale="6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03"/>
  <sheetViews>
    <sheetView showGridLines="0" workbookViewId="0">
      <selection activeCell="N9" sqref="N9"/>
    </sheetView>
  </sheetViews>
  <sheetFormatPr baseColWidth="10" defaultRowHeight="15" x14ac:dyDescent="0"/>
  <cols>
    <col min="1" max="1" width="2.85546875" customWidth="1"/>
    <col min="2" max="2" width="20.42578125" customWidth="1"/>
    <col min="3" max="3" width="6.5703125" customWidth="1"/>
    <col min="4" max="4" width="6.85546875" customWidth="1"/>
    <col min="5" max="5" width="12.7109375" customWidth="1"/>
    <col min="6" max="7" width="7.5703125" bestFit="1" customWidth="1"/>
    <col min="8" max="8" width="8.5703125" bestFit="1" customWidth="1"/>
    <col min="9" max="9" width="8.28515625" customWidth="1"/>
  </cols>
  <sheetData>
    <row r="1" spans="1:22" ht="16" thickBot="1"/>
    <row r="2" spans="1:22" ht="19" thickBot="1">
      <c r="B2" s="783" t="s">
        <v>624</v>
      </c>
      <c r="C2" s="784"/>
      <c r="D2" s="784"/>
      <c r="E2" s="784"/>
      <c r="F2" s="784"/>
      <c r="G2" s="784"/>
      <c r="H2" s="784"/>
      <c r="K2" s="1090"/>
      <c r="L2" s="1119" t="s">
        <v>512</v>
      </c>
      <c r="M2" s="1120"/>
    </row>
    <row r="4" spans="1:22" ht="46" customHeight="1">
      <c r="B4" s="1266" t="s">
        <v>881</v>
      </c>
      <c r="C4" s="1266"/>
      <c r="D4" s="1266"/>
      <c r="E4" s="1266"/>
      <c r="F4" s="1266"/>
      <c r="G4" s="1266"/>
      <c r="H4" s="1266"/>
      <c r="I4" s="1266"/>
      <c r="J4" s="1266"/>
      <c r="K4" s="1266"/>
      <c r="L4" s="1266"/>
      <c r="M4" s="1266"/>
    </row>
    <row r="6" spans="1:22" s="28" customFormat="1" ht="27" customHeight="1">
      <c r="A6" s="55"/>
      <c r="B6" s="1180" t="s">
        <v>740</v>
      </c>
      <c r="C6" s="1180"/>
      <c r="D6" s="1180"/>
      <c r="E6" s="1180"/>
      <c r="F6" s="1180"/>
      <c r="G6" s="1180"/>
      <c r="H6" s="1180"/>
      <c r="I6" s="1180"/>
      <c r="J6" s="1180"/>
      <c r="K6" s="1180"/>
      <c r="L6" s="1180"/>
      <c r="M6" s="1181"/>
    </row>
    <row r="7" spans="1:22" s="5" customFormat="1" ht="80" customHeight="1" thickBot="1">
      <c r="A7" s="22"/>
      <c r="B7" s="1183" t="s">
        <v>131</v>
      </c>
      <c r="C7" s="1184" t="s">
        <v>726</v>
      </c>
      <c r="D7" s="1184" t="s">
        <v>727</v>
      </c>
      <c r="E7" s="1184" t="s">
        <v>728</v>
      </c>
      <c r="F7" s="1185" t="s">
        <v>759</v>
      </c>
      <c r="G7" s="1185" t="s">
        <v>729</v>
      </c>
      <c r="H7" s="1184" t="s">
        <v>915</v>
      </c>
      <c r="I7" s="1184" t="s">
        <v>916</v>
      </c>
      <c r="J7" s="1185" t="s">
        <v>437</v>
      </c>
      <c r="K7" s="1185" t="s">
        <v>917</v>
      </c>
      <c r="L7" s="1185" t="s">
        <v>721</v>
      </c>
      <c r="M7" s="1185" t="s">
        <v>886</v>
      </c>
      <c r="N7" s="22"/>
      <c r="U7" s="29"/>
      <c r="V7" s="29"/>
    </row>
    <row r="8" spans="1:22" s="5" customFormat="1">
      <c r="A8" s="22"/>
      <c r="B8" s="1094" t="s">
        <v>104</v>
      </c>
      <c r="C8" s="1091"/>
      <c r="D8" s="1091" t="s">
        <v>579</v>
      </c>
      <c r="E8" s="1092" t="s">
        <v>580</v>
      </c>
      <c r="F8" s="1093">
        <v>52</v>
      </c>
      <c r="G8" s="1094">
        <v>2</v>
      </c>
      <c r="H8" s="1094">
        <v>16</v>
      </c>
      <c r="I8" s="1094">
        <v>2</v>
      </c>
      <c r="J8" s="1095">
        <f t="shared" ref="J8:J37" si="0">L8/3</f>
        <v>6701.5384615384619</v>
      </c>
      <c r="K8" s="1095">
        <f>J8*12/I8</f>
        <v>40209.230769230773</v>
      </c>
      <c r="L8" s="1095">
        <f t="shared" ref="L8:L37" si="1">(43560/F8*12*G8)</f>
        <v>20104.615384615387</v>
      </c>
      <c r="M8" s="1095">
        <f t="shared" ref="M8:M37" si="2">L8*12/I8</f>
        <v>120627.69230769231</v>
      </c>
      <c r="N8" s="22"/>
    </row>
    <row r="9" spans="1:22" s="5" customFormat="1">
      <c r="A9" s="22"/>
      <c r="B9" s="11" t="s">
        <v>105</v>
      </c>
      <c r="C9" s="1087"/>
      <c r="D9" s="1087" t="s">
        <v>579</v>
      </c>
      <c r="E9" s="1088" t="s">
        <v>580</v>
      </c>
      <c r="F9" s="1089">
        <v>52</v>
      </c>
      <c r="G9" s="11">
        <v>2</v>
      </c>
      <c r="H9" s="11">
        <v>16</v>
      </c>
      <c r="I9" s="11">
        <v>1.5</v>
      </c>
      <c r="J9" s="1086">
        <f t="shared" si="0"/>
        <v>6701.5384615384619</v>
      </c>
      <c r="K9" s="1086">
        <f t="shared" ref="K9:K36" si="3">J9*12/I9</f>
        <v>53612.307692307695</v>
      </c>
      <c r="L9" s="1086">
        <f t="shared" si="1"/>
        <v>20104.615384615387</v>
      </c>
      <c r="M9" s="1086">
        <f t="shared" si="2"/>
        <v>160836.92307692309</v>
      </c>
      <c r="N9" s="22"/>
    </row>
    <row r="10" spans="1:22" s="5" customFormat="1">
      <c r="A10" s="22"/>
      <c r="B10" s="1094" t="s">
        <v>6</v>
      </c>
      <c r="C10" s="1091"/>
      <c r="D10" s="1091" t="s">
        <v>579</v>
      </c>
      <c r="E10" s="1092" t="s">
        <v>581</v>
      </c>
      <c r="F10" s="1093">
        <v>52</v>
      </c>
      <c r="G10" s="1094">
        <v>2</v>
      </c>
      <c r="H10" s="1094">
        <v>16</v>
      </c>
      <c r="I10" s="1094">
        <v>14</v>
      </c>
      <c r="J10" s="1095">
        <f t="shared" si="0"/>
        <v>6701.5384615384619</v>
      </c>
      <c r="K10" s="1095">
        <f t="shared" si="3"/>
        <v>5744.1758241758243</v>
      </c>
      <c r="L10" s="1095">
        <f t="shared" si="1"/>
        <v>20104.615384615387</v>
      </c>
      <c r="M10" s="1095">
        <f t="shared" si="2"/>
        <v>17232.527472527472</v>
      </c>
      <c r="N10" s="22"/>
    </row>
    <row r="11" spans="1:22" s="5" customFormat="1">
      <c r="A11" s="22"/>
      <c r="B11" s="11" t="s">
        <v>106</v>
      </c>
      <c r="C11" s="1087"/>
      <c r="D11" s="1087" t="s">
        <v>579</v>
      </c>
      <c r="E11" s="1088" t="s">
        <v>581</v>
      </c>
      <c r="F11" s="1089">
        <v>52</v>
      </c>
      <c r="G11" s="11">
        <v>2</v>
      </c>
      <c r="H11" s="11">
        <v>16</v>
      </c>
      <c r="I11" s="11">
        <v>24</v>
      </c>
      <c r="J11" s="1086">
        <f t="shared" si="0"/>
        <v>6701.5384615384619</v>
      </c>
      <c r="K11" s="1086">
        <f t="shared" si="3"/>
        <v>3350.7692307692309</v>
      </c>
      <c r="L11" s="1086">
        <f t="shared" si="1"/>
        <v>20104.615384615387</v>
      </c>
      <c r="M11" s="1086">
        <f t="shared" si="2"/>
        <v>10052.307692307693</v>
      </c>
      <c r="N11" s="22"/>
    </row>
    <row r="12" spans="1:22" s="5" customFormat="1">
      <c r="A12" s="22"/>
      <c r="B12" s="1094" t="s">
        <v>7</v>
      </c>
      <c r="C12" s="1091"/>
      <c r="D12" s="1091" t="s">
        <v>579</v>
      </c>
      <c r="E12" s="1092" t="s">
        <v>581</v>
      </c>
      <c r="F12" s="1093">
        <v>52</v>
      </c>
      <c r="G12" s="1094">
        <v>2</v>
      </c>
      <c r="H12" s="1094">
        <v>16</v>
      </c>
      <c r="I12" s="1094">
        <v>16</v>
      </c>
      <c r="J12" s="1095">
        <f t="shared" si="0"/>
        <v>6701.5384615384619</v>
      </c>
      <c r="K12" s="1095">
        <f t="shared" si="3"/>
        <v>5026.1538461538466</v>
      </c>
      <c r="L12" s="1095">
        <f t="shared" si="1"/>
        <v>20104.615384615387</v>
      </c>
      <c r="M12" s="1095">
        <f t="shared" si="2"/>
        <v>15078.461538461539</v>
      </c>
      <c r="N12" s="22"/>
    </row>
    <row r="13" spans="1:22" s="5" customFormat="1">
      <c r="A13" s="22"/>
      <c r="B13" s="11" t="s">
        <v>107</v>
      </c>
      <c r="C13" s="1087"/>
      <c r="D13" s="1087" t="s">
        <v>579</v>
      </c>
      <c r="E13" s="1088" t="s">
        <v>580</v>
      </c>
      <c r="F13" s="1089">
        <v>52</v>
      </c>
      <c r="G13" s="11">
        <v>2</v>
      </c>
      <c r="H13" s="11">
        <v>16</v>
      </c>
      <c r="I13" s="11">
        <v>0.8</v>
      </c>
      <c r="J13" s="1086">
        <f t="shared" si="0"/>
        <v>6701.5384615384619</v>
      </c>
      <c r="K13" s="1086">
        <f t="shared" si="3"/>
        <v>100523.07692307692</v>
      </c>
      <c r="L13" s="1086">
        <f t="shared" si="1"/>
        <v>20104.615384615387</v>
      </c>
      <c r="M13" s="1086">
        <f t="shared" si="2"/>
        <v>301569.23076923075</v>
      </c>
      <c r="N13" s="22"/>
    </row>
    <row r="14" spans="1:22" s="5" customFormat="1">
      <c r="A14" s="22"/>
      <c r="B14" s="1094" t="s">
        <v>108</v>
      </c>
      <c r="C14" s="1091"/>
      <c r="D14" s="1091" t="s">
        <v>579</v>
      </c>
      <c r="E14" s="1092" t="s">
        <v>581</v>
      </c>
      <c r="F14" s="1093">
        <v>52</v>
      </c>
      <c r="G14" s="1094">
        <v>2</v>
      </c>
      <c r="H14" s="1094">
        <v>16</v>
      </c>
      <c r="I14" s="1094">
        <v>18</v>
      </c>
      <c r="J14" s="1095">
        <f t="shared" si="0"/>
        <v>6701.5384615384619</v>
      </c>
      <c r="K14" s="1095">
        <f t="shared" si="3"/>
        <v>4467.6923076923085</v>
      </c>
      <c r="L14" s="1095">
        <f t="shared" si="1"/>
        <v>20104.615384615387</v>
      </c>
      <c r="M14" s="1095">
        <f t="shared" si="2"/>
        <v>13403.076923076924</v>
      </c>
      <c r="N14" s="22"/>
    </row>
    <row r="15" spans="1:22" s="5" customFormat="1">
      <c r="A15" s="22"/>
      <c r="B15" s="11" t="s">
        <v>109</v>
      </c>
      <c r="C15" s="1087"/>
      <c r="D15" s="1087" t="s">
        <v>579</v>
      </c>
      <c r="E15" s="1088" t="s">
        <v>580</v>
      </c>
      <c r="F15" s="1089">
        <v>52</v>
      </c>
      <c r="G15" s="11">
        <v>2</v>
      </c>
      <c r="H15" s="11">
        <v>16</v>
      </c>
      <c r="I15" s="11">
        <v>2</v>
      </c>
      <c r="J15" s="1086">
        <f t="shared" si="0"/>
        <v>6701.5384615384619</v>
      </c>
      <c r="K15" s="1086">
        <f t="shared" si="3"/>
        <v>40209.230769230773</v>
      </c>
      <c r="L15" s="1086">
        <f t="shared" si="1"/>
        <v>20104.615384615387</v>
      </c>
      <c r="M15" s="1086">
        <f t="shared" si="2"/>
        <v>120627.69230769231</v>
      </c>
      <c r="N15" s="22"/>
    </row>
    <row r="16" spans="1:22" s="5" customFormat="1">
      <c r="A16" s="22"/>
      <c r="B16" s="1094" t="s">
        <v>110</v>
      </c>
      <c r="C16" s="1091"/>
      <c r="D16" s="1091" t="s">
        <v>579</v>
      </c>
      <c r="E16" s="1092" t="s">
        <v>580</v>
      </c>
      <c r="F16" s="1093">
        <v>52</v>
      </c>
      <c r="G16" s="1094">
        <v>2</v>
      </c>
      <c r="H16" s="1094">
        <v>16</v>
      </c>
      <c r="I16" s="1094">
        <v>8</v>
      </c>
      <c r="J16" s="1095">
        <f t="shared" si="0"/>
        <v>6701.5384615384619</v>
      </c>
      <c r="K16" s="1095">
        <f t="shared" si="3"/>
        <v>10052.307692307693</v>
      </c>
      <c r="L16" s="1095">
        <f t="shared" si="1"/>
        <v>20104.615384615387</v>
      </c>
      <c r="M16" s="1095">
        <f t="shared" si="2"/>
        <v>30156.923076923078</v>
      </c>
      <c r="N16" s="22"/>
    </row>
    <row r="17" spans="1:14" s="5" customFormat="1">
      <c r="A17" s="22"/>
      <c r="B17" s="11" t="s">
        <v>385</v>
      </c>
      <c r="C17" s="1087" t="s">
        <v>579</v>
      </c>
      <c r="D17" s="1087"/>
      <c r="E17" s="1088" t="s">
        <v>581</v>
      </c>
      <c r="F17" s="1089">
        <v>84</v>
      </c>
      <c r="G17" s="11">
        <v>2</v>
      </c>
      <c r="H17" s="11">
        <v>12</v>
      </c>
      <c r="I17" s="11">
        <v>12</v>
      </c>
      <c r="J17" s="1086">
        <f t="shared" si="0"/>
        <v>4148.5714285714284</v>
      </c>
      <c r="K17" s="1086">
        <f t="shared" si="3"/>
        <v>4148.5714285714284</v>
      </c>
      <c r="L17" s="1086">
        <f t="shared" si="1"/>
        <v>12445.714285714286</v>
      </c>
      <c r="M17" s="1086">
        <f t="shared" si="2"/>
        <v>12445.714285714284</v>
      </c>
      <c r="N17" s="22"/>
    </row>
    <row r="18" spans="1:14" s="5" customFormat="1">
      <c r="A18" s="22"/>
      <c r="B18" s="1094" t="s">
        <v>112</v>
      </c>
      <c r="C18" s="1091" t="s">
        <v>579</v>
      </c>
      <c r="D18" s="1091"/>
      <c r="E18" s="1092" t="s">
        <v>581</v>
      </c>
      <c r="F18" s="1093">
        <v>84</v>
      </c>
      <c r="G18" s="1094">
        <v>2</v>
      </c>
      <c r="H18" s="1094">
        <v>12</v>
      </c>
      <c r="I18" s="1094">
        <v>18</v>
      </c>
      <c r="J18" s="1095">
        <f t="shared" si="0"/>
        <v>4148.5714285714284</v>
      </c>
      <c r="K18" s="1095">
        <f t="shared" si="3"/>
        <v>2765.7142857142858</v>
      </c>
      <c r="L18" s="1095">
        <f t="shared" si="1"/>
        <v>12445.714285714286</v>
      </c>
      <c r="M18" s="1095">
        <f t="shared" si="2"/>
        <v>8297.1428571428569</v>
      </c>
      <c r="N18" s="22"/>
    </row>
    <row r="19" spans="1:14" s="5" customFormat="1">
      <c r="A19" s="22"/>
      <c r="B19" s="11" t="s">
        <v>70</v>
      </c>
      <c r="C19" s="1087" t="s">
        <v>579</v>
      </c>
      <c r="D19" s="1087"/>
      <c r="E19" s="1088" t="s">
        <v>580</v>
      </c>
      <c r="F19" s="1089">
        <v>84</v>
      </c>
      <c r="G19" s="11">
        <v>3</v>
      </c>
      <c r="H19" s="11">
        <v>6</v>
      </c>
      <c r="I19" s="11">
        <v>9</v>
      </c>
      <c r="J19" s="1086">
        <f t="shared" si="0"/>
        <v>6222.8571428571422</v>
      </c>
      <c r="K19" s="1086">
        <f t="shared" si="3"/>
        <v>8297.1428571428569</v>
      </c>
      <c r="L19" s="1086">
        <f t="shared" si="1"/>
        <v>18668.571428571428</v>
      </c>
      <c r="M19" s="1086">
        <f t="shared" si="2"/>
        <v>24891.428571428569</v>
      </c>
      <c r="N19" s="22"/>
    </row>
    <row r="20" spans="1:14" s="5" customFormat="1">
      <c r="A20" s="22"/>
      <c r="B20" s="1094" t="s">
        <v>123</v>
      </c>
      <c r="C20" s="1091"/>
      <c r="D20" s="1091" t="s">
        <v>579</v>
      </c>
      <c r="E20" s="1092" t="s">
        <v>581</v>
      </c>
      <c r="F20" s="1093">
        <v>52</v>
      </c>
      <c r="G20" s="1094">
        <v>2</v>
      </c>
      <c r="H20" s="1094">
        <v>16</v>
      </c>
      <c r="I20" s="1094">
        <v>12</v>
      </c>
      <c r="J20" s="1095">
        <f t="shared" si="0"/>
        <v>6701.5384615384619</v>
      </c>
      <c r="K20" s="1095">
        <f t="shared" si="3"/>
        <v>6701.5384615384619</v>
      </c>
      <c r="L20" s="1095">
        <f t="shared" si="1"/>
        <v>20104.615384615387</v>
      </c>
      <c r="M20" s="1095">
        <f t="shared" si="2"/>
        <v>20104.615384615387</v>
      </c>
      <c r="N20" s="22"/>
    </row>
    <row r="21" spans="1:14" s="5" customFormat="1">
      <c r="A21" s="22"/>
      <c r="B21" s="11" t="s">
        <v>289</v>
      </c>
      <c r="C21" s="1087"/>
      <c r="D21" s="1087" t="s">
        <v>579</v>
      </c>
      <c r="E21" s="1088" t="s">
        <v>580</v>
      </c>
      <c r="F21" s="1089">
        <v>52</v>
      </c>
      <c r="G21" s="11">
        <v>2</v>
      </c>
      <c r="H21" s="11">
        <v>16</v>
      </c>
      <c r="I21" s="11">
        <v>0.8</v>
      </c>
      <c r="J21" s="1086">
        <f t="shared" si="0"/>
        <v>6701.5384615384619</v>
      </c>
      <c r="K21" s="1086">
        <f t="shared" si="3"/>
        <v>100523.07692307692</v>
      </c>
      <c r="L21" s="1086">
        <f t="shared" si="1"/>
        <v>20104.615384615387</v>
      </c>
      <c r="M21" s="1086">
        <f t="shared" si="2"/>
        <v>301569.23076923075</v>
      </c>
      <c r="N21" s="22"/>
    </row>
    <row r="22" spans="1:14" s="5" customFormat="1">
      <c r="A22" s="22"/>
      <c r="B22" s="1094" t="s">
        <v>122</v>
      </c>
      <c r="C22" s="1091"/>
      <c r="D22" s="1091" t="s">
        <v>579</v>
      </c>
      <c r="E22" s="1092" t="s">
        <v>580</v>
      </c>
      <c r="F22" s="1093">
        <v>52</v>
      </c>
      <c r="G22" s="1094">
        <v>2</v>
      </c>
      <c r="H22" s="1094">
        <v>16</v>
      </c>
      <c r="I22" s="1094">
        <v>1</v>
      </c>
      <c r="J22" s="1095">
        <f t="shared" si="0"/>
        <v>6701.5384615384619</v>
      </c>
      <c r="K22" s="1095">
        <f t="shared" si="3"/>
        <v>80418.461538461546</v>
      </c>
      <c r="L22" s="1095">
        <f t="shared" si="1"/>
        <v>20104.615384615387</v>
      </c>
      <c r="M22" s="1095">
        <f t="shared" si="2"/>
        <v>241255.38461538462</v>
      </c>
      <c r="N22" s="22"/>
    </row>
    <row r="23" spans="1:14" s="5" customFormat="1">
      <c r="A23" s="22"/>
      <c r="B23" s="11" t="s">
        <v>113</v>
      </c>
      <c r="C23" s="1087"/>
      <c r="D23" s="1087" t="s">
        <v>579</v>
      </c>
      <c r="E23" s="1088" t="s">
        <v>581</v>
      </c>
      <c r="F23" s="1089">
        <v>52</v>
      </c>
      <c r="G23" s="11">
        <v>2</v>
      </c>
      <c r="H23" s="11">
        <v>16</v>
      </c>
      <c r="I23" s="11">
        <v>9</v>
      </c>
      <c r="J23" s="1086">
        <f t="shared" si="0"/>
        <v>6701.5384615384619</v>
      </c>
      <c r="K23" s="1086">
        <f t="shared" si="3"/>
        <v>8935.3846153846171</v>
      </c>
      <c r="L23" s="1086">
        <f t="shared" si="1"/>
        <v>20104.615384615387</v>
      </c>
      <c r="M23" s="1086">
        <f t="shared" si="2"/>
        <v>26806.153846153848</v>
      </c>
      <c r="N23" s="22"/>
    </row>
    <row r="24" spans="1:14" s="5" customFormat="1">
      <c r="A24" s="22"/>
      <c r="B24" s="1094" t="s">
        <v>386</v>
      </c>
      <c r="C24" s="1091"/>
      <c r="D24" s="1091" t="s">
        <v>579</v>
      </c>
      <c r="E24" s="1092" t="s">
        <v>581</v>
      </c>
      <c r="F24" s="1093">
        <v>52</v>
      </c>
      <c r="G24" s="1094">
        <v>2</v>
      </c>
      <c r="H24" s="1094">
        <v>16</v>
      </c>
      <c r="I24" s="1094">
        <v>9</v>
      </c>
      <c r="J24" s="1095">
        <f t="shared" si="0"/>
        <v>6701.5384615384619</v>
      </c>
      <c r="K24" s="1095">
        <f t="shared" si="3"/>
        <v>8935.3846153846171</v>
      </c>
      <c r="L24" s="1095">
        <f t="shared" si="1"/>
        <v>20104.615384615387</v>
      </c>
      <c r="M24" s="1095">
        <f t="shared" si="2"/>
        <v>26806.153846153848</v>
      </c>
      <c r="N24" s="22"/>
    </row>
    <row r="25" spans="1:14" s="5" customFormat="1">
      <c r="A25" s="22"/>
      <c r="B25" s="11" t="s">
        <v>387</v>
      </c>
      <c r="C25" s="1087"/>
      <c r="D25" s="1087" t="s">
        <v>579</v>
      </c>
      <c r="E25" s="1088" t="s">
        <v>581</v>
      </c>
      <c r="F25" s="1089">
        <v>52</v>
      </c>
      <c r="G25" s="11">
        <v>2</v>
      </c>
      <c r="H25" s="11">
        <v>16</v>
      </c>
      <c r="I25" s="11">
        <v>12</v>
      </c>
      <c r="J25" s="1086">
        <f t="shared" si="0"/>
        <v>6701.5384615384619</v>
      </c>
      <c r="K25" s="1086">
        <f t="shared" si="3"/>
        <v>6701.5384615384619</v>
      </c>
      <c r="L25" s="1086">
        <f t="shared" si="1"/>
        <v>20104.615384615387</v>
      </c>
      <c r="M25" s="1086">
        <f t="shared" si="2"/>
        <v>20104.615384615387</v>
      </c>
      <c r="N25" s="22"/>
    </row>
    <row r="26" spans="1:14" s="5" customFormat="1">
      <c r="A26" s="22"/>
      <c r="B26" s="1094" t="s">
        <v>282</v>
      </c>
      <c r="C26" s="1091" t="s">
        <v>579</v>
      </c>
      <c r="D26" s="1091"/>
      <c r="E26" s="1092" t="s">
        <v>581</v>
      </c>
      <c r="F26" s="1093">
        <v>84</v>
      </c>
      <c r="G26" s="1094">
        <v>1</v>
      </c>
      <c r="H26" s="1094"/>
      <c r="I26" s="1094">
        <v>15</v>
      </c>
      <c r="J26" s="1095">
        <f t="shared" si="0"/>
        <v>2074.2857142857142</v>
      </c>
      <c r="K26" s="1095">
        <f t="shared" si="3"/>
        <v>1659.4285714285716</v>
      </c>
      <c r="L26" s="1095">
        <f t="shared" si="1"/>
        <v>6222.8571428571431</v>
      </c>
      <c r="M26" s="1095">
        <f t="shared" si="2"/>
        <v>4978.2857142857138</v>
      </c>
      <c r="N26" s="22"/>
    </row>
    <row r="27" spans="1:14" s="5" customFormat="1">
      <c r="A27" s="22"/>
      <c r="B27" s="11" t="s">
        <v>388</v>
      </c>
      <c r="C27" s="1087"/>
      <c r="D27" s="1087" t="s">
        <v>579</v>
      </c>
      <c r="E27" s="1088" t="s">
        <v>581</v>
      </c>
      <c r="F27" s="1089">
        <v>52</v>
      </c>
      <c r="G27" s="11">
        <v>2</v>
      </c>
      <c r="H27" s="11">
        <v>16</v>
      </c>
      <c r="I27" s="11">
        <v>9</v>
      </c>
      <c r="J27" s="1086">
        <f t="shared" si="0"/>
        <v>6701.5384615384619</v>
      </c>
      <c r="K27" s="1086">
        <f t="shared" si="3"/>
        <v>8935.3846153846171</v>
      </c>
      <c r="L27" s="1086">
        <f t="shared" si="1"/>
        <v>20104.615384615387</v>
      </c>
      <c r="M27" s="1086">
        <f t="shared" si="2"/>
        <v>26806.153846153848</v>
      </c>
      <c r="N27" s="22"/>
    </row>
    <row r="28" spans="1:14" s="5" customFormat="1">
      <c r="A28" s="22"/>
      <c r="B28" s="1094" t="s">
        <v>118</v>
      </c>
      <c r="C28" s="1091" t="s">
        <v>579</v>
      </c>
      <c r="D28" s="1091"/>
      <c r="E28" s="1092" t="s">
        <v>581</v>
      </c>
      <c r="F28" s="1093">
        <v>84</v>
      </c>
      <c r="G28" s="1094">
        <v>2</v>
      </c>
      <c r="H28" s="1094">
        <v>12</v>
      </c>
      <c r="I28" s="1094">
        <v>15</v>
      </c>
      <c r="J28" s="1095">
        <f t="shared" si="0"/>
        <v>4148.5714285714284</v>
      </c>
      <c r="K28" s="1095">
        <f t="shared" si="3"/>
        <v>3318.8571428571431</v>
      </c>
      <c r="L28" s="1095">
        <f t="shared" si="1"/>
        <v>12445.714285714286</v>
      </c>
      <c r="M28" s="1095">
        <f t="shared" si="2"/>
        <v>9956.5714285714275</v>
      </c>
      <c r="N28" s="22"/>
    </row>
    <row r="29" spans="1:14" s="5" customFormat="1">
      <c r="A29" s="22"/>
      <c r="B29" s="11" t="s">
        <v>8</v>
      </c>
      <c r="C29" s="1087"/>
      <c r="D29" s="1087" t="s">
        <v>579</v>
      </c>
      <c r="E29" s="1088" t="s">
        <v>580</v>
      </c>
      <c r="F29" s="1089">
        <v>72</v>
      </c>
      <c r="G29" s="11">
        <v>2</v>
      </c>
      <c r="H29" s="11">
        <v>32</v>
      </c>
      <c r="I29" s="11">
        <v>8</v>
      </c>
      <c r="J29" s="1086">
        <f t="shared" si="0"/>
        <v>4840</v>
      </c>
      <c r="K29" s="1086">
        <f t="shared" si="3"/>
        <v>7260</v>
      </c>
      <c r="L29" s="1086">
        <f t="shared" si="1"/>
        <v>14520</v>
      </c>
      <c r="M29" s="1086">
        <f t="shared" si="2"/>
        <v>21780</v>
      </c>
      <c r="N29" s="22"/>
    </row>
    <row r="30" spans="1:14" s="5" customFormat="1">
      <c r="A30" s="22"/>
      <c r="B30" s="1094" t="s">
        <v>125</v>
      </c>
      <c r="C30" s="1091" t="s">
        <v>579</v>
      </c>
      <c r="D30" s="1091"/>
      <c r="E30" s="1092" t="s">
        <v>581</v>
      </c>
      <c r="F30" s="1093">
        <v>84</v>
      </c>
      <c r="G30" s="1094">
        <v>1</v>
      </c>
      <c r="H30" s="1094"/>
      <c r="I30" s="1094">
        <v>12</v>
      </c>
      <c r="J30" s="1095">
        <f t="shared" si="0"/>
        <v>2074.2857142857142</v>
      </c>
      <c r="K30" s="1095">
        <f t="shared" si="3"/>
        <v>2074.2857142857142</v>
      </c>
      <c r="L30" s="1095">
        <f t="shared" si="1"/>
        <v>6222.8571428571431</v>
      </c>
      <c r="M30" s="1095">
        <f t="shared" si="2"/>
        <v>6222.8571428571422</v>
      </c>
      <c r="N30" s="22"/>
    </row>
    <row r="31" spans="1:14" s="5" customFormat="1">
      <c r="A31" s="22"/>
      <c r="B31" s="11" t="s">
        <v>124</v>
      </c>
      <c r="C31" s="1087"/>
      <c r="D31" s="1087" t="s">
        <v>579</v>
      </c>
      <c r="E31" s="1088" t="s">
        <v>580</v>
      </c>
      <c r="F31" s="1089">
        <v>52</v>
      </c>
      <c r="G31" s="11">
        <v>2</v>
      </c>
      <c r="H31" s="11">
        <v>16</v>
      </c>
      <c r="I31" s="11">
        <v>1</v>
      </c>
      <c r="J31" s="1086">
        <f t="shared" si="0"/>
        <v>6701.5384615384619</v>
      </c>
      <c r="K31" s="1086">
        <f t="shared" si="3"/>
        <v>80418.461538461546</v>
      </c>
      <c r="L31" s="1086">
        <f t="shared" si="1"/>
        <v>20104.615384615387</v>
      </c>
      <c r="M31" s="1086">
        <f t="shared" si="2"/>
        <v>241255.38461538462</v>
      </c>
      <c r="N31" s="22"/>
    </row>
    <row r="32" spans="1:14" s="5" customFormat="1">
      <c r="A32" s="22"/>
      <c r="B32" s="1094" t="s">
        <v>204</v>
      </c>
      <c r="C32" s="1091"/>
      <c r="D32" s="1091" t="s">
        <v>579</v>
      </c>
      <c r="E32" s="1092" t="s">
        <v>581</v>
      </c>
      <c r="F32" s="1093">
        <v>52</v>
      </c>
      <c r="G32" s="1094">
        <v>2</v>
      </c>
      <c r="H32" s="1094">
        <v>16</v>
      </c>
      <c r="I32" s="1094">
        <v>9</v>
      </c>
      <c r="J32" s="1095">
        <f t="shared" si="0"/>
        <v>6701.5384615384619</v>
      </c>
      <c r="K32" s="1095">
        <f t="shared" si="3"/>
        <v>8935.3846153846171</v>
      </c>
      <c r="L32" s="1095">
        <f t="shared" si="1"/>
        <v>20104.615384615387</v>
      </c>
      <c r="M32" s="1095">
        <f t="shared" si="2"/>
        <v>26806.153846153848</v>
      </c>
      <c r="N32" s="22"/>
    </row>
    <row r="33" spans="1:18" s="5" customFormat="1">
      <c r="A33" s="22"/>
      <c r="B33" s="11" t="s">
        <v>119</v>
      </c>
      <c r="C33" s="1087" t="s">
        <v>579</v>
      </c>
      <c r="D33" s="1087"/>
      <c r="E33" s="1088" t="s">
        <v>581</v>
      </c>
      <c r="F33" s="1089">
        <v>84</v>
      </c>
      <c r="G33" s="11">
        <v>1</v>
      </c>
      <c r="H33" s="11"/>
      <c r="I33" s="11">
        <v>15</v>
      </c>
      <c r="J33" s="1086">
        <f t="shared" si="0"/>
        <v>2074.2857142857142</v>
      </c>
      <c r="K33" s="1086">
        <f t="shared" si="3"/>
        <v>1659.4285714285716</v>
      </c>
      <c r="L33" s="1086">
        <f t="shared" si="1"/>
        <v>6222.8571428571431</v>
      </c>
      <c r="M33" s="1086">
        <f t="shared" si="2"/>
        <v>4978.2857142857138</v>
      </c>
      <c r="N33" s="22"/>
    </row>
    <row r="34" spans="1:18" s="5" customFormat="1">
      <c r="A34" s="22"/>
      <c r="B34" s="1094" t="s">
        <v>120</v>
      </c>
      <c r="C34" s="1091" t="s">
        <v>579</v>
      </c>
      <c r="D34" s="1091"/>
      <c r="E34" s="1092" t="s">
        <v>581</v>
      </c>
      <c r="F34" s="1093">
        <v>84</v>
      </c>
      <c r="G34" s="1094">
        <v>1</v>
      </c>
      <c r="H34" s="1094"/>
      <c r="I34" s="1094">
        <v>15</v>
      </c>
      <c r="J34" s="1095">
        <f t="shared" si="0"/>
        <v>2074.2857142857142</v>
      </c>
      <c r="K34" s="1095">
        <f t="shared" si="3"/>
        <v>1659.4285714285716</v>
      </c>
      <c r="L34" s="1095">
        <f t="shared" si="1"/>
        <v>6222.8571428571431</v>
      </c>
      <c r="M34" s="1095">
        <f t="shared" si="2"/>
        <v>4978.2857142857138</v>
      </c>
      <c r="N34" s="22"/>
    </row>
    <row r="35" spans="1:18" s="5" customFormat="1">
      <c r="A35" s="22"/>
      <c r="B35" s="11" t="s">
        <v>126</v>
      </c>
      <c r="C35" s="1087" t="s">
        <v>579</v>
      </c>
      <c r="D35" s="1087"/>
      <c r="E35" s="1088" t="s">
        <v>581</v>
      </c>
      <c r="F35" s="1089">
        <v>96</v>
      </c>
      <c r="G35" s="11">
        <v>1</v>
      </c>
      <c r="H35" s="11"/>
      <c r="I35" s="11">
        <v>18</v>
      </c>
      <c r="J35" s="1086">
        <f t="shared" si="0"/>
        <v>1815</v>
      </c>
      <c r="K35" s="1086">
        <f t="shared" si="3"/>
        <v>1210</v>
      </c>
      <c r="L35" s="1086">
        <f t="shared" si="1"/>
        <v>5445</v>
      </c>
      <c r="M35" s="1086">
        <f t="shared" si="2"/>
        <v>3630</v>
      </c>
      <c r="N35" s="22"/>
    </row>
    <row r="36" spans="1:18" s="5" customFormat="1">
      <c r="A36" s="22"/>
      <c r="B36" s="1094" t="s">
        <v>121</v>
      </c>
      <c r="C36" s="1091" t="s">
        <v>579</v>
      </c>
      <c r="D36" s="1091"/>
      <c r="E36" s="1092" t="s">
        <v>581</v>
      </c>
      <c r="F36" s="1093">
        <v>84</v>
      </c>
      <c r="G36" s="1094">
        <v>1</v>
      </c>
      <c r="H36" s="1094"/>
      <c r="I36" s="1094">
        <v>24</v>
      </c>
      <c r="J36" s="1095">
        <f t="shared" si="0"/>
        <v>2074.2857142857142</v>
      </c>
      <c r="K36" s="1095">
        <f t="shared" si="3"/>
        <v>1037.1428571428571</v>
      </c>
      <c r="L36" s="1095">
        <f t="shared" si="1"/>
        <v>6222.8571428571431</v>
      </c>
      <c r="M36" s="1095">
        <f t="shared" si="2"/>
        <v>3111.4285714285711</v>
      </c>
      <c r="N36" s="22"/>
    </row>
    <row r="37" spans="1:18" s="5" customFormat="1">
      <c r="A37" s="22"/>
      <c r="B37" s="11" t="s">
        <v>462</v>
      </c>
      <c r="C37" s="1087" t="s">
        <v>579</v>
      </c>
      <c r="D37" s="1087"/>
      <c r="E37" s="1088" t="s">
        <v>581</v>
      </c>
      <c r="F37" s="1089">
        <v>84</v>
      </c>
      <c r="G37" s="11">
        <v>2</v>
      </c>
      <c r="H37" s="11">
        <v>12</v>
      </c>
      <c r="I37" s="11">
        <v>12</v>
      </c>
      <c r="J37" s="1086">
        <f t="shared" si="0"/>
        <v>4148.5714285714284</v>
      </c>
      <c r="K37" s="1086">
        <f>J37*12/I37</f>
        <v>4148.5714285714284</v>
      </c>
      <c r="L37" s="1086">
        <f t="shared" si="1"/>
        <v>12445.714285714286</v>
      </c>
      <c r="M37" s="1086">
        <f t="shared" si="2"/>
        <v>12445.714285714284</v>
      </c>
      <c r="N37" s="22"/>
      <c r="O37" s="21"/>
      <c r="P37" s="21"/>
      <c r="Q37" s="21"/>
      <c r="R37" s="21"/>
    </row>
    <row r="38" spans="1:18" ht="4" customHeight="1">
      <c r="B38" s="55"/>
      <c r="C38" s="55"/>
      <c r="D38" s="55"/>
      <c r="E38" s="1182"/>
      <c r="F38" s="90"/>
      <c r="G38" s="90"/>
      <c r="H38" s="55"/>
      <c r="I38" s="55"/>
      <c r="J38" s="55"/>
      <c r="K38" s="55"/>
      <c r="L38" s="81"/>
      <c r="M38" s="81"/>
      <c r="N38" s="11"/>
    </row>
    <row r="39" spans="1:18" s="5" customFormat="1">
      <c r="B39" s="22"/>
      <c r="C39" s="22"/>
      <c r="D39" s="22"/>
      <c r="E39" s="22"/>
      <c r="F39" s="22"/>
      <c r="G39" s="22"/>
      <c r="H39" s="22"/>
      <c r="I39" s="22"/>
      <c r="J39" s="22"/>
      <c r="K39" s="22"/>
      <c r="L39" s="1260"/>
      <c r="M39" s="1260"/>
      <c r="N39" s="22"/>
    </row>
    <row r="40" spans="1:18" s="5" customFormat="1"/>
    <row r="41" spans="1:18" s="5" customFormat="1"/>
    <row r="42" spans="1:18" s="5" customFormat="1"/>
    <row r="43" spans="1:18" s="5" customFormat="1"/>
    <row r="44" spans="1:18" s="5" customFormat="1"/>
    <row r="45" spans="1:18" s="5" customFormat="1"/>
    <row r="46" spans="1:18" s="5" customFormat="1"/>
    <row r="47" spans="1:18" s="5" customFormat="1"/>
    <row r="48" spans="1:1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sheetData>
  <sheetProtection sheet="1" objects="1" scenarios="1"/>
  <mergeCells count="1">
    <mergeCell ref="B4:M4"/>
  </mergeCells>
  <phoneticPr fontId="15" type="noConversion"/>
  <hyperlinks>
    <hyperlink ref="L2" location="'Workbook Index'!A1" display="Back to Workbook Index"/>
  </hyperlinks>
  <pageMargins left="0.75" right="0.75" top="1" bottom="1" header="0.5" footer="0.5"/>
  <pageSetup scale="85"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X345"/>
  <sheetViews>
    <sheetView showGridLines="0" workbookViewId="0">
      <selection activeCell="D3" sqref="D3"/>
    </sheetView>
  </sheetViews>
  <sheetFormatPr baseColWidth="10" defaultColWidth="8.7109375" defaultRowHeight="15" x14ac:dyDescent="0"/>
  <cols>
    <col min="1" max="1" width="2.85546875" customWidth="1"/>
    <col min="2" max="2" width="38.140625" customWidth="1"/>
    <col min="3" max="3" width="16.7109375" customWidth="1"/>
    <col min="4" max="4" width="15.42578125" customWidth="1"/>
    <col min="5" max="5" width="15.5703125" customWidth="1"/>
    <col min="6" max="6" width="10.140625" customWidth="1"/>
    <col min="7" max="7" width="9.85546875" style="155" customWidth="1"/>
    <col min="8" max="8" width="7.85546875" style="155" customWidth="1"/>
    <col min="9" max="9" width="12" style="161" customWidth="1"/>
    <col min="10" max="10" width="9.7109375" customWidth="1"/>
    <col min="11" max="11" width="11" customWidth="1"/>
    <col min="12" max="12" width="11" bestFit="1" customWidth="1"/>
    <col min="13" max="13" width="10.28515625" style="163" bestFit="1" customWidth="1"/>
    <col min="14" max="14" width="12.5703125" bestFit="1" customWidth="1"/>
    <col min="15" max="15" width="12.7109375" bestFit="1" customWidth="1"/>
    <col min="16" max="16" width="8.5703125" bestFit="1" customWidth="1"/>
    <col min="17" max="18" width="11.28515625" customWidth="1"/>
    <col min="19" max="19" width="9.5703125" customWidth="1"/>
    <col min="20" max="20" width="10.5703125" bestFit="1" customWidth="1"/>
    <col min="21" max="22" width="11.28515625" customWidth="1"/>
    <col min="23" max="23" width="10.140625" customWidth="1"/>
    <col min="24" max="24" width="9.7109375" customWidth="1"/>
    <col min="25" max="25" width="8.5703125" customWidth="1"/>
    <col min="26" max="26" width="28.5703125" customWidth="1"/>
    <col min="27" max="27" width="12.85546875" customWidth="1"/>
    <col min="28" max="28" width="13.5703125" customWidth="1"/>
    <col min="29" max="29" width="10.42578125" customWidth="1"/>
    <col min="30" max="30" width="8" customWidth="1"/>
    <col min="31" max="31" width="7.28515625" customWidth="1"/>
    <col min="32" max="32" width="12.7109375" customWidth="1"/>
    <col min="33" max="33" width="12.85546875" customWidth="1"/>
    <col min="34" max="34" width="12.7109375" customWidth="1"/>
    <col min="35" max="35" width="10" customWidth="1"/>
    <col min="36" max="36" width="9.28515625" customWidth="1"/>
    <col min="37" max="37" width="8.7109375" customWidth="1"/>
    <col min="38" max="39" width="12.42578125" customWidth="1"/>
    <col min="40" max="40" width="8.7109375" customWidth="1"/>
    <col min="41" max="41" width="11.42578125" customWidth="1"/>
    <col min="42" max="42" width="8.7109375" customWidth="1"/>
    <col min="43" max="43" width="13.28515625" customWidth="1"/>
    <col min="44" max="45" width="8.7109375" customWidth="1"/>
    <col min="46" max="46" width="11.28515625" customWidth="1"/>
  </cols>
  <sheetData>
    <row r="1" spans="2:20" ht="16" thickBot="1"/>
    <row r="2" spans="2:20" ht="19" thickBot="1">
      <c r="B2" s="42" t="s">
        <v>625</v>
      </c>
      <c r="G2" s="156"/>
      <c r="H2" s="162"/>
      <c r="I2" s="562"/>
      <c r="J2" s="563"/>
      <c r="K2" s="1263" t="s">
        <v>512</v>
      </c>
      <c r="L2" s="1264"/>
      <c r="M2" s="564"/>
      <c r="N2" s="6"/>
      <c r="O2" s="9"/>
      <c r="P2" s="9"/>
      <c r="Q2" s="9"/>
      <c r="R2" s="9"/>
      <c r="S2" s="9"/>
      <c r="T2" s="9"/>
    </row>
    <row r="3" spans="2:20" s="81" customFormat="1" ht="18">
      <c r="B3" s="216"/>
      <c r="G3" s="1039"/>
      <c r="H3" s="393"/>
      <c r="I3" s="1040"/>
      <c r="J3" s="1018"/>
      <c r="K3" s="1034"/>
      <c r="L3" s="1034"/>
      <c r="M3" s="569"/>
      <c r="N3" s="14"/>
      <c r="O3" s="1038"/>
      <c r="P3" s="1038"/>
      <c r="Q3" s="1038"/>
      <c r="R3" s="1038"/>
      <c r="S3" s="1038"/>
      <c r="T3" s="1038"/>
    </row>
    <row r="4" spans="2:20" s="81" customFormat="1" ht="80" customHeight="1">
      <c r="B4" s="1262" t="s">
        <v>894</v>
      </c>
      <c r="C4" s="1262"/>
      <c r="D4" s="1262"/>
      <c r="E4" s="1262"/>
      <c r="F4" s="1262"/>
      <c r="G4" s="1262"/>
      <c r="H4" s="1262"/>
      <c r="I4" s="1262"/>
      <c r="J4" s="1262"/>
      <c r="K4" s="1262"/>
      <c r="L4" s="1262"/>
      <c r="M4" s="569"/>
      <c r="N4" s="14"/>
      <c r="O4" s="1038"/>
      <c r="P4" s="1038"/>
      <c r="Q4" s="1038"/>
      <c r="R4" s="1038"/>
      <c r="S4" s="1038"/>
      <c r="T4" s="1038"/>
    </row>
    <row r="5" spans="2:20" s="81" customFormat="1" ht="18">
      <c r="B5" s="216"/>
      <c r="G5" s="1039"/>
      <c r="H5" s="393"/>
      <c r="I5" s="1040"/>
      <c r="J5" s="1018"/>
      <c r="K5" s="1034"/>
      <c r="L5" s="1034"/>
      <c r="M5" s="569"/>
      <c r="N5" s="14"/>
      <c r="O5" s="1038"/>
      <c r="P5" s="1038"/>
      <c r="Q5" s="1038"/>
      <c r="R5" s="1038"/>
      <c r="S5" s="1038"/>
      <c r="T5" s="1038"/>
    </row>
    <row r="6" spans="2:20" ht="25" customHeight="1">
      <c r="B6" s="1186" t="s">
        <v>732</v>
      </c>
      <c r="C6" s="1187"/>
      <c r="D6" s="1187"/>
      <c r="E6" s="1187"/>
      <c r="F6" s="1187"/>
      <c r="G6" s="1188"/>
      <c r="H6" s="1189"/>
      <c r="I6" s="1187"/>
      <c r="J6" s="1190"/>
      <c r="K6" s="1190"/>
      <c r="L6" s="1191"/>
      <c r="M6"/>
    </row>
    <row r="7" spans="2:20" ht="66" customHeight="1" thickBot="1">
      <c r="B7" s="1193" t="s">
        <v>219</v>
      </c>
      <c r="C7" s="1194" t="s">
        <v>155</v>
      </c>
      <c r="D7" s="1277" t="s">
        <v>156</v>
      </c>
      <c r="E7" s="1277"/>
      <c r="F7" s="1277"/>
      <c r="G7" s="1277"/>
      <c r="H7" s="1195" t="s">
        <v>717</v>
      </c>
      <c r="I7" s="1184" t="s">
        <v>723</v>
      </c>
      <c r="J7" s="1195" t="s">
        <v>718</v>
      </c>
      <c r="K7" s="1184" t="s">
        <v>724</v>
      </c>
      <c r="L7" s="1184" t="s">
        <v>725</v>
      </c>
      <c r="M7"/>
    </row>
    <row r="8" spans="2:20" ht="15" customHeight="1">
      <c r="B8" s="69" t="s">
        <v>143</v>
      </c>
      <c r="C8" s="176"/>
      <c r="D8" s="1278"/>
      <c r="E8" s="1278"/>
      <c r="F8" s="1278"/>
      <c r="G8" s="1278"/>
      <c r="H8" s="90"/>
      <c r="I8" s="55"/>
      <c r="J8" s="90"/>
      <c r="K8" s="55"/>
      <c r="L8" s="55"/>
      <c r="M8"/>
    </row>
    <row r="9" spans="2:20" ht="15" customHeight="1">
      <c r="B9" s="1197" t="s">
        <v>145</v>
      </c>
      <c r="C9" s="1200" t="s">
        <v>162</v>
      </c>
      <c r="D9" s="1279" t="str">
        <f>'BW2-Field Act. Labor &amp; Mach.'!$B$103</f>
        <v>Edwards 8' Flail Mower</v>
      </c>
      <c r="E9" s="1279"/>
      <c r="F9" s="1279"/>
      <c r="G9" s="1279"/>
      <c r="H9" s="1198">
        <v>0.7</v>
      </c>
      <c r="I9" s="1201">
        <f t="shared" ref="I9:I17" si="0">H9*$E$84</f>
        <v>9.23447</v>
      </c>
      <c r="J9" s="1198">
        <v>0.7</v>
      </c>
      <c r="K9" s="1201">
        <f>($X$95*$J$9)+($X$103*$J$9)</f>
        <v>7.1626812745625896</v>
      </c>
      <c r="L9" s="1201">
        <f>($W$146*$J$9)+($W$154*$J$9)</f>
        <v>6.5697668891297312</v>
      </c>
      <c r="M9"/>
    </row>
    <row r="10" spans="2:20" ht="30">
      <c r="B10" s="1196" t="s">
        <v>220</v>
      </c>
      <c r="C10" s="1122" t="s">
        <v>214</v>
      </c>
      <c r="D10" s="1267" t="s">
        <v>757</v>
      </c>
      <c r="E10" s="1280"/>
      <c r="F10" s="1280"/>
      <c r="G10" s="1280"/>
      <c r="H10" s="399">
        <v>0.9</v>
      </c>
      <c r="I10" s="618">
        <f t="shared" si="0"/>
        <v>11.87289</v>
      </c>
      <c r="J10" s="399">
        <v>0.9</v>
      </c>
      <c r="K10" s="618">
        <f>($X$94*$J$10)+($X$95*$J$10)+(($X$101*$J$10)/2)</f>
        <v>16.900081383311999</v>
      </c>
      <c r="L10" s="618">
        <f>($W$145*$J$10)+($W$146*$J$10)+(($W$152*$J$10)/2)</f>
        <v>23.703168100043012</v>
      </c>
      <c r="M10"/>
    </row>
    <row r="11" spans="2:20" ht="15" customHeight="1">
      <c r="B11" s="1197" t="s">
        <v>43</v>
      </c>
      <c r="C11" s="1200" t="s">
        <v>163</v>
      </c>
      <c r="D11" s="1274" t="str">
        <f>'BW2-Field Act. Labor &amp; Mach.'!$B$104</f>
        <v>Disc Harrow</v>
      </c>
      <c r="E11" s="1274"/>
      <c r="F11" s="1274"/>
      <c r="G11" s="1274"/>
      <c r="H11" s="1198">
        <v>0.4</v>
      </c>
      <c r="I11" s="1201">
        <f t="shared" si="0"/>
        <v>5.27684</v>
      </c>
      <c r="J11" s="1198">
        <v>0.4</v>
      </c>
      <c r="K11" s="1201">
        <f>($X$94*$J$11)+($X$104*$J$11)</f>
        <v>4.7393418269465482</v>
      </c>
      <c r="L11" s="1201">
        <f>($W$145*$J$11)+($W$155*$J$11)</f>
        <v>4.8215303303156709</v>
      </c>
      <c r="M11"/>
    </row>
    <row r="12" spans="2:20" ht="15" customHeight="1">
      <c r="B12" s="15" t="s">
        <v>148</v>
      </c>
      <c r="C12" s="158" t="s">
        <v>162</v>
      </c>
      <c r="D12" s="1275" t="str">
        <f>$B$108</f>
        <v>Custom 8' Field Cultivator</v>
      </c>
      <c r="E12" s="1275"/>
      <c r="F12" s="1275"/>
      <c r="G12" s="1275"/>
      <c r="H12" s="139">
        <v>0.5</v>
      </c>
      <c r="I12" s="58">
        <f t="shared" si="0"/>
        <v>6.59605</v>
      </c>
      <c r="J12" s="139">
        <v>0.5</v>
      </c>
      <c r="K12" s="58">
        <f>($X$95*$J$12)+($X$108*$J$12)</f>
        <v>3.7281613670297151</v>
      </c>
      <c r="L12" s="58">
        <f>($W$146*$J$12)+($W$159*$J$12)</f>
        <v>3.4161206017736747</v>
      </c>
      <c r="M12"/>
    </row>
    <row r="13" spans="2:20" ht="15" customHeight="1">
      <c r="B13" s="1197" t="s">
        <v>11</v>
      </c>
      <c r="C13" s="1200" t="s">
        <v>162</v>
      </c>
      <c r="D13" s="1274" t="str">
        <f>$B$106</f>
        <v>Imants 5.9' 27-Series Spader</v>
      </c>
      <c r="E13" s="1274"/>
      <c r="F13" s="1274"/>
      <c r="G13" s="1274"/>
      <c r="H13" s="1198">
        <v>1.7</v>
      </c>
      <c r="I13" s="1201">
        <f t="shared" si="0"/>
        <v>22.426569999999998</v>
      </c>
      <c r="J13" s="1198">
        <v>1.7</v>
      </c>
      <c r="K13" s="1201">
        <f>($X$95*$J$13)+($X$106*$J$13)</f>
        <v>17.993866831056</v>
      </c>
      <c r="L13" s="1201">
        <f>($W$146*$J$13)+($W$157*$J$13)</f>
        <v>44.771770188886023</v>
      </c>
      <c r="M13"/>
    </row>
    <row r="14" spans="2:20" ht="15" customHeight="1">
      <c r="B14" s="15" t="s">
        <v>12</v>
      </c>
      <c r="C14" s="158" t="s">
        <v>163</v>
      </c>
      <c r="D14" s="1275" t="str">
        <f>$B$105</f>
        <v>Maschio 7.75' B-230 Tiller</v>
      </c>
      <c r="E14" s="1275"/>
      <c r="F14" s="1275"/>
      <c r="G14" s="1275"/>
      <c r="H14" s="139">
        <v>0.8</v>
      </c>
      <c r="I14" s="58">
        <f t="shared" si="0"/>
        <v>10.55368</v>
      </c>
      <c r="J14" s="139">
        <v>0.8</v>
      </c>
      <c r="K14" s="58">
        <f>($X$94*$J$14)+($X$105*$J$14)</f>
        <v>9.2140341759999984</v>
      </c>
      <c r="L14" s="58">
        <f>($W$145*$J$14)+($W$156*$J$14)</f>
        <v>29.935417361494395</v>
      </c>
      <c r="M14"/>
    </row>
    <row r="15" spans="2:20" ht="15" customHeight="1">
      <c r="B15" s="1197" t="s">
        <v>215</v>
      </c>
      <c r="C15" s="1200" t="s">
        <v>162</v>
      </c>
      <c r="D15" s="1274" t="str">
        <f>$B$121</f>
        <v>Andros Engineering DripTape layer: 1 head</v>
      </c>
      <c r="E15" s="1274"/>
      <c r="F15" s="1274"/>
      <c r="G15" s="1274"/>
      <c r="H15" s="1198">
        <v>4.5</v>
      </c>
      <c r="I15" s="1201">
        <f t="shared" si="0"/>
        <v>59.364449999999998</v>
      </c>
      <c r="J15" s="1198">
        <v>1.5</v>
      </c>
      <c r="K15" s="1201">
        <f>($X$95*$J$15)+($X$121*$J$15)</f>
        <v>11.732543673988348</v>
      </c>
      <c r="L15" s="1201">
        <f>($W$146*$J$15)+($W$172*$J$15)</f>
        <v>19.938595491388046</v>
      </c>
      <c r="M15"/>
    </row>
    <row r="16" spans="2:20" ht="15" customHeight="1">
      <c r="B16" s="15" t="s">
        <v>146</v>
      </c>
      <c r="C16" s="158" t="s">
        <v>162</v>
      </c>
      <c r="D16" s="1275" t="str">
        <f>$B$120</f>
        <v>Custom 4' Stale Seed Bedder</v>
      </c>
      <c r="E16" s="1275"/>
      <c r="F16" s="1275"/>
      <c r="G16" s="1275"/>
      <c r="H16" s="139">
        <v>0.8</v>
      </c>
      <c r="I16" s="58">
        <f t="shared" si="0"/>
        <v>10.55368</v>
      </c>
      <c r="J16" s="139">
        <v>0.8</v>
      </c>
      <c r="K16" s="58">
        <f>($X$95*$J$16)+($X$120*$J$16)</f>
        <v>6.0256001977877345</v>
      </c>
      <c r="L16" s="58">
        <f>($W$146*$J$16)+($W$171*$J$16)</f>
        <v>8.6660783736967684</v>
      </c>
      <c r="M16"/>
    </row>
    <row r="17" spans="2:13" ht="15" customHeight="1">
      <c r="B17" s="1197" t="s">
        <v>216</v>
      </c>
      <c r="C17" s="1200" t="s">
        <v>163</v>
      </c>
      <c r="D17" s="1274" t="str">
        <f>$B$111</f>
        <v>Rain-Flo Model 2600 Plastic Mulch Layer</v>
      </c>
      <c r="E17" s="1274"/>
      <c r="F17" s="1274"/>
      <c r="G17" s="1274"/>
      <c r="H17" s="1198">
        <v>5.5</v>
      </c>
      <c r="I17" s="1201">
        <f t="shared" si="0"/>
        <v>72.556550000000001</v>
      </c>
      <c r="J17" s="1198">
        <v>1.5</v>
      </c>
      <c r="K17" s="1201">
        <f>($X$94*$J$17)+($X$111*$J$17)</f>
        <v>18.413226025968029</v>
      </c>
      <c r="L17" s="1201">
        <f>($W$145*$J$17)+($W$162*$J$17)</f>
        <v>38.951406687324337</v>
      </c>
      <c r="M17"/>
    </row>
    <row r="18" spans="2:13" ht="15" customHeight="1">
      <c r="B18" s="11"/>
      <c r="C18" s="158"/>
      <c r="D18" s="1275"/>
      <c r="E18" s="1275"/>
      <c r="F18" s="1275"/>
      <c r="G18" s="1275"/>
      <c r="H18" s="261"/>
      <c r="I18" s="58"/>
      <c r="J18" s="261"/>
      <c r="K18" s="58"/>
      <c r="L18" s="58"/>
      <c r="M18"/>
    </row>
    <row r="19" spans="2:13" ht="15" customHeight="1">
      <c r="B19" s="69" t="s">
        <v>151</v>
      </c>
      <c r="C19" s="505"/>
      <c r="D19" s="1283"/>
      <c r="E19" s="1283"/>
      <c r="F19" s="1283"/>
      <c r="G19" s="1283"/>
      <c r="H19" s="1202"/>
      <c r="I19" s="257"/>
      <c r="J19" s="1202"/>
      <c r="K19" s="257"/>
      <c r="L19" s="257"/>
      <c r="M19"/>
    </row>
    <row r="20" spans="2:13" ht="15" customHeight="1">
      <c r="B20" s="1197" t="s">
        <v>321</v>
      </c>
      <c r="C20" s="1200" t="s">
        <v>162</v>
      </c>
      <c r="D20" s="1274" t="str">
        <f>$B$122</f>
        <v>MaterMacc VegiMacc Vacuum Seeder: 2 rows</v>
      </c>
      <c r="E20" s="1274"/>
      <c r="F20" s="1274"/>
      <c r="G20" s="1274"/>
      <c r="H20" s="1198">
        <v>4</v>
      </c>
      <c r="I20" s="1201">
        <f t="shared" ref="I20:I25" si="1">H20*$E$84</f>
        <v>52.7684</v>
      </c>
      <c r="J20" s="1198">
        <v>2</v>
      </c>
      <c r="K20" s="1201">
        <f>($X$95*$J$20)+($X$122*$J$20)</f>
        <v>17.196459355934465</v>
      </c>
      <c r="L20" s="1201">
        <f>($W$146*$J$20)+($W$173*$J$20)</f>
        <v>40.179586989352146</v>
      </c>
      <c r="M20"/>
    </row>
    <row r="21" spans="2:13" ht="15" customHeight="1">
      <c r="B21" s="15" t="s">
        <v>320</v>
      </c>
      <c r="C21" s="158" t="s">
        <v>162</v>
      </c>
      <c r="D21" s="1275" t="str">
        <f>$B$123</f>
        <v>Mechanical 5000 Carousel Transplanter: 2 rows</v>
      </c>
      <c r="E21" s="1275"/>
      <c r="F21" s="1275"/>
      <c r="G21" s="1275"/>
      <c r="H21" s="139">
        <v>18</v>
      </c>
      <c r="I21" s="58">
        <f t="shared" si="1"/>
        <v>237.45779999999999</v>
      </c>
      <c r="J21" s="139">
        <v>4</v>
      </c>
      <c r="K21" s="58">
        <f>($X$95*$J$21)+($X$123*$J$21)</f>
        <v>36.893392063675897</v>
      </c>
      <c r="L21" s="58">
        <f>($W$146*$J$21)+($W$174*$J$21)</f>
        <v>114.11450861195542</v>
      </c>
      <c r="M21"/>
    </row>
    <row r="22" spans="2:13" ht="15" customHeight="1">
      <c r="B22" s="1197" t="s">
        <v>319</v>
      </c>
      <c r="C22" s="1200" t="s">
        <v>163</v>
      </c>
      <c r="D22" s="1205" t="str">
        <f>$B$112</f>
        <v xml:space="preserve">Rain-Flo Model 1600 Water Wheel Transplanter &amp; Wheels </v>
      </c>
      <c r="E22" s="1204"/>
      <c r="F22" s="1204"/>
      <c r="G22" s="1204"/>
      <c r="H22" s="1198">
        <v>10</v>
      </c>
      <c r="I22" s="1201">
        <f t="shared" si="1"/>
        <v>131.92099999999999</v>
      </c>
      <c r="J22" s="1198">
        <v>3</v>
      </c>
      <c r="K22" s="1201">
        <f>($X$94*$J$22)+($X$112*$J$22)</f>
        <v>36.302136438428491</v>
      </c>
      <c r="L22" s="1201">
        <f>($W$145*$J$22)+($W$163*$J$22)</f>
        <v>41.509045695666089</v>
      </c>
      <c r="M22"/>
    </row>
    <row r="23" spans="2:13" ht="15" customHeight="1">
      <c r="B23" s="984" t="s">
        <v>217</v>
      </c>
      <c r="C23" s="158" t="s">
        <v>163</v>
      </c>
      <c r="D23" s="1275" t="s">
        <v>222</v>
      </c>
      <c r="E23" s="1275"/>
      <c r="F23" s="1275"/>
      <c r="G23" s="1275"/>
      <c r="H23" s="393">
        <v>22</v>
      </c>
      <c r="I23" s="58">
        <f t="shared" si="1"/>
        <v>290.22620000000001</v>
      </c>
      <c r="J23" s="139">
        <v>0.4</v>
      </c>
      <c r="K23" s="58">
        <f>($X$94*$J$23)+($X$112*$J$23)</f>
        <v>4.8402848584571325</v>
      </c>
      <c r="L23" s="58">
        <f>($W$145*$J$23)+($W$163*$J$23)</f>
        <v>5.5345394260888119</v>
      </c>
      <c r="M23"/>
    </row>
    <row r="24" spans="2:13" ht="15" customHeight="1">
      <c r="B24" s="1197" t="s">
        <v>218</v>
      </c>
      <c r="C24" s="1200" t="s">
        <v>163</v>
      </c>
      <c r="D24" s="1274" t="str">
        <f>$B$128</f>
        <v>Willsie potato planter/harvester</v>
      </c>
      <c r="E24" s="1274"/>
      <c r="F24" s="1274"/>
      <c r="G24" s="1274"/>
      <c r="H24" s="1198">
        <v>31</v>
      </c>
      <c r="I24" s="1201">
        <f t="shared" si="1"/>
        <v>408.95510000000002</v>
      </c>
      <c r="J24" s="1198">
        <v>1.5</v>
      </c>
      <c r="K24" s="1201">
        <f>($X$94*$J$24)+($X$128*$J$24)</f>
        <v>17.163493728983763</v>
      </c>
      <c r="L24" s="1201">
        <f>($W$145*$J$24)+($W$179*$J$24)</f>
        <v>31.205237133547332</v>
      </c>
      <c r="M24"/>
    </row>
    <row r="25" spans="2:13" ht="15" customHeight="1">
      <c r="B25" s="1203" t="s">
        <v>231</v>
      </c>
      <c r="C25" s="158" t="s">
        <v>164</v>
      </c>
      <c r="D25" s="1275" t="str">
        <f>$B$114</f>
        <v xml:space="preserve">IH Farmall 140 Plastic Cultivator </v>
      </c>
      <c r="E25" s="1275"/>
      <c r="F25" s="1275"/>
      <c r="G25" s="1275"/>
      <c r="H25" s="139">
        <v>2</v>
      </c>
      <c r="I25" s="58">
        <f t="shared" si="1"/>
        <v>26.3842</v>
      </c>
      <c r="J25" s="139">
        <v>0.5</v>
      </c>
      <c r="K25" s="58">
        <f>$X$114*$J$25</f>
        <v>1.5835499999999998</v>
      </c>
      <c r="L25" s="58">
        <f>$W$165*$J$25</f>
        <v>5.5640243902439019</v>
      </c>
      <c r="M25"/>
    </row>
    <row r="26" spans="2:13" ht="15" customHeight="1">
      <c r="B26" s="4"/>
      <c r="C26" s="158"/>
      <c r="D26" s="1275"/>
      <c r="E26" s="1275"/>
      <c r="F26" s="1275"/>
      <c r="G26" s="1275"/>
      <c r="H26" s="394"/>
      <c r="I26" s="58"/>
      <c r="J26" s="394"/>
      <c r="K26" s="58"/>
      <c r="L26" s="58"/>
      <c r="M26"/>
    </row>
    <row r="27" spans="2:13" ht="15" customHeight="1">
      <c r="B27" s="268" t="s">
        <v>251</v>
      </c>
      <c r="C27" s="268"/>
      <c r="D27" s="1283"/>
      <c r="E27" s="1283"/>
      <c r="F27" s="1283"/>
      <c r="G27" s="1283"/>
      <c r="H27" s="1206"/>
      <c r="I27" s="257"/>
      <c r="J27" s="1206"/>
      <c r="K27" s="257"/>
      <c r="L27" s="257"/>
      <c r="M27"/>
    </row>
    <row r="28" spans="2:13" ht="15" customHeight="1">
      <c r="B28" s="1197" t="s">
        <v>135</v>
      </c>
      <c r="C28" s="1200" t="s">
        <v>164</v>
      </c>
      <c r="D28" s="1274" t="str">
        <f>$B$124</f>
        <v xml:space="preserve">IH Farmall 140 w/ Buddingh Basket Weeder </v>
      </c>
      <c r="E28" s="1274"/>
      <c r="F28" s="1274"/>
      <c r="G28" s="1274"/>
      <c r="H28" s="1198">
        <v>0.8</v>
      </c>
      <c r="I28" s="1201">
        <f t="shared" ref="I28:I51" si="2">H28*$E$84</f>
        <v>10.55368</v>
      </c>
      <c r="J28" s="1198">
        <v>0.8</v>
      </c>
      <c r="K28" s="1201">
        <f>($X$124*$J$28)</f>
        <v>4.3566091571073375</v>
      </c>
      <c r="L28" s="1201">
        <f>($W$175*$J$28)</f>
        <v>11.550734166118781</v>
      </c>
      <c r="M28"/>
    </row>
    <row r="29" spans="2:13" ht="15" customHeight="1">
      <c r="B29" s="15" t="s">
        <v>138</v>
      </c>
      <c r="C29" s="158" t="s">
        <v>162</v>
      </c>
      <c r="D29" s="1275" t="str">
        <f>$B$125</f>
        <v>Kress Argus Finger Weeder</v>
      </c>
      <c r="E29" s="1275"/>
      <c r="F29" s="1275"/>
      <c r="G29" s="1275"/>
      <c r="H29" s="139">
        <v>2.4</v>
      </c>
      <c r="I29" s="58">
        <f t="shared" si="2"/>
        <v>31.66104</v>
      </c>
      <c r="J29" s="139">
        <v>1.2</v>
      </c>
      <c r="K29" s="58">
        <f>($X$95*$J$29)+($X$125*$J$29)</f>
        <v>9.4246701390025667</v>
      </c>
      <c r="L29" s="58">
        <f>($W$146*$J$29)+($W$176*$J$29)</f>
        <v>25.827424012158055</v>
      </c>
      <c r="M29"/>
    </row>
    <row r="30" spans="2:13" ht="15" customHeight="1">
      <c r="B30" s="1197" t="s">
        <v>345</v>
      </c>
      <c r="C30" s="1200" t="s">
        <v>164</v>
      </c>
      <c r="D30" s="1274" t="str">
        <f>$B$114</f>
        <v xml:space="preserve">IH Farmall 140 Plastic Cultivator </v>
      </c>
      <c r="E30" s="1274"/>
      <c r="F30" s="1274"/>
      <c r="G30" s="1274"/>
      <c r="H30" s="1198">
        <v>0.6</v>
      </c>
      <c r="I30" s="1201">
        <f t="shared" si="2"/>
        <v>7.91526</v>
      </c>
      <c r="J30" s="1198">
        <v>0.6</v>
      </c>
      <c r="K30" s="1201">
        <f>$X$114*$J$30</f>
        <v>1.9002599999999996</v>
      </c>
      <c r="L30" s="1201">
        <f>$W$165*$J$30</f>
        <v>6.676829268292682</v>
      </c>
      <c r="M30"/>
    </row>
    <row r="31" spans="2:13" ht="15" customHeight="1">
      <c r="B31" s="15" t="s">
        <v>225</v>
      </c>
      <c r="C31" s="158" t="s">
        <v>25</v>
      </c>
      <c r="D31" s="1275" t="str">
        <f>$B$119</f>
        <v>Custom 4' Field Cultivator</v>
      </c>
      <c r="E31" s="1275"/>
      <c r="F31" s="1275"/>
      <c r="G31" s="1275"/>
      <c r="H31" s="139">
        <v>0.4</v>
      </c>
      <c r="I31" s="58">
        <f t="shared" si="2"/>
        <v>5.27684</v>
      </c>
      <c r="J31" s="139">
        <v>0.4</v>
      </c>
      <c r="K31" s="58">
        <f>($X$96*$J$31)+($X$119*$J$31)</f>
        <v>0.82851478332565176</v>
      </c>
      <c r="L31" s="58">
        <f>($W$147*$J$31)+($W$170*$J$31)</f>
        <v>13.681501340482576</v>
      </c>
      <c r="M31"/>
    </row>
    <row r="32" spans="2:13" ht="15" customHeight="1">
      <c r="B32" s="1197" t="s">
        <v>230</v>
      </c>
      <c r="C32" s="1200" t="s">
        <v>25</v>
      </c>
      <c r="D32" s="1274" t="str">
        <f>$D$31</f>
        <v>Custom 4' Field Cultivator</v>
      </c>
      <c r="E32" s="1274"/>
      <c r="F32" s="1274"/>
      <c r="G32" s="1274"/>
      <c r="H32" s="1198">
        <v>0.5</v>
      </c>
      <c r="I32" s="1201">
        <f t="shared" si="2"/>
        <v>6.59605</v>
      </c>
      <c r="J32" s="1198">
        <v>0.34</v>
      </c>
      <c r="K32" s="1201">
        <f>($X$96*$J$32)+($X$119*$J$32)</f>
        <v>0.70423756582680397</v>
      </c>
      <c r="L32" s="1201">
        <f>($W$147*$J$32)+($W$170*$J$32)</f>
        <v>11.629276139410191</v>
      </c>
      <c r="M32"/>
    </row>
    <row r="33" spans="2:13" ht="15" customHeight="1">
      <c r="B33" s="1203" t="s">
        <v>232</v>
      </c>
      <c r="C33" s="158" t="s">
        <v>153</v>
      </c>
      <c r="D33" s="1275" t="str">
        <f>$B$116</f>
        <v>BCS + flailmower</v>
      </c>
      <c r="E33" s="1275"/>
      <c r="F33" s="1275"/>
      <c r="G33" s="1275"/>
      <c r="H33" s="139">
        <v>0.8</v>
      </c>
      <c r="I33" s="58">
        <f t="shared" si="2"/>
        <v>10.55368</v>
      </c>
      <c r="J33" s="139">
        <v>0.8</v>
      </c>
      <c r="K33" s="58">
        <f>($X$116*$J$33)</f>
        <v>4.968</v>
      </c>
      <c r="L33" s="58">
        <f>($W$167*$J$33)</f>
        <v>22.208549222797931</v>
      </c>
      <c r="M33"/>
    </row>
    <row r="34" spans="2:13" ht="15" customHeight="1">
      <c r="B34" s="1197" t="s">
        <v>139</v>
      </c>
      <c r="C34" s="1200"/>
      <c r="D34" s="1274"/>
      <c r="E34" s="1274"/>
      <c r="F34" s="1274"/>
      <c r="G34" s="1274"/>
      <c r="H34" s="1198">
        <v>7.5</v>
      </c>
      <c r="I34" s="1201">
        <f t="shared" si="2"/>
        <v>98.940749999999994</v>
      </c>
      <c r="J34" s="1198"/>
      <c r="K34" s="1201"/>
      <c r="L34" s="1201"/>
      <c r="M34"/>
    </row>
    <row r="35" spans="2:13" ht="15" customHeight="1">
      <c r="B35" s="15" t="s">
        <v>343</v>
      </c>
      <c r="C35" s="158"/>
      <c r="D35" s="1275"/>
      <c r="E35" s="1275"/>
      <c r="F35" s="1275"/>
      <c r="G35" s="1275"/>
      <c r="H35" s="139">
        <v>5</v>
      </c>
      <c r="I35" s="58">
        <f t="shared" si="2"/>
        <v>65.960499999999996</v>
      </c>
      <c r="J35" s="139"/>
      <c r="K35" s="58"/>
      <c r="L35" s="58"/>
      <c r="M35"/>
    </row>
    <row r="36" spans="2:13" ht="15" customHeight="1">
      <c r="B36" s="1197" t="s">
        <v>233</v>
      </c>
      <c r="C36" s="1200"/>
      <c r="D36" s="1274"/>
      <c r="E36" s="1274"/>
      <c r="F36" s="1274"/>
      <c r="G36" s="1274"/>
      <c r="H36" s="1198">
        <v>15</v>
      </c>
      <c r="I36" s="1201">
        <f t="shared" si="2"/>
        <v>197.88149999999999</v>
      </c>
      <c r="J36" s="1198"/>
      <c r="K36" s="1201"/>
      <c r="L36" s="1201"/>
      <c r="M36"/>
    </row>
    <row r="37" spans="2:13" ht="15" customHeight="1">
      <c r="B37" s="15" t="s">
        <v>325</v>
      </c>
      <c r="C37" s="158" t="s">
        <v>163</v>
      </c>
      <c r="D37" s="1275" t="str">
        <f>$B$132</f>
        <v>Penn Creek 25' Boom Sprayer</v>
      </c>
      <c r="E37" s="1275"/>
      <c r="F37" s="1275"/>
      <c r="G37" s="1275"/>
      <c r="H37" s="139">
        <v>1</v>
      </c>
      <c r="I37" s="58">
        <f t="shared" si="2"/>
        <v>13.1921</v>
      </c>
      <c r="J37" s="139">
        <v>0.8</v>
      </c>
      <c r="K37" s="58">
        <f>($X$94*$J$37)+($X$132*$J$37)</f>
        <v>10.182221645260032</v>
      </c>
      <c r="L37" s="58">
        <f>($W$145*$J$37)+($W$183*$J$37)</f>
        <v>13.104933098926082</v>
      </c>
      <c r="M37"/>
    </row>
    <row r="38" spans="2:13" ht="15" customHeight="1">
      <c r="B38" s="1197" t="s">
        <v>141</v>
      </c>
      <c r="C38" s="1200"/>
      <c r="D38" s="1274"/>
      <c r="E38" s="1274"/>
      <c r="F38" s="1274"/>
      <c r="G38" s="1274"/>
      <c r="H38" s="1198">
        <v>0.6</v>
      </c>
      <c r="I38" s="1201">
        <f t="shared" si="2"/>
        <v>7.91526</v>
      </c>
      <c r="J38" s="1198"/>
      <c r="K38" s="1201"/>
      <c r="L38" s="1201"/>
      <c r="M38"/>
    </row>
    <row r="39" spans="2:13" ht="15" customHeight="1">
      <c r="B39" s="15" t="s">
        <v>178</v>
      </c>
      <c r="C39" s="158"/>
      <c r="D39" s="1276"/>
      <c r="E39" s="1276"/>
      <c r="F39" s="1276"/>
      <c r="G39" s="1276"/>
      <c r="H39" s="55">
        <v>0.8</v>
      </c>
      <c r="I39" s="58">
        <f t="shared" si="2"/>
        <v>10.55368</v>
      </c>
      <c r="J39" s="139"/>
      <c r="K39" s="58"/>
      <c r="L39" s="58"/>
      <c r="M39"/>
    </row>
    <row r="40" spans="2:13" ht="15" customHeight="1">
      <c r="B40" s="1197" t="s">
        <v>38</v>
      </c>
      <c r="C40" s="1200" t="s">
        <v>162</v>
      </c>
      <c r="D40" s="1274" t="str">
        <f>$B$133</f>
        <v>Custom Fertigator</v>
      </c>
      <c r="E40" s="1274"/>
      <c r="F40" s="1274"/>
      <c r="G40" s="1274"/>
      <c r="H40" s="1199">
        <v>1.3</v>
      </c>
      <c r="I40" s="1201">
        <f t="shared" si="2"/>
        <v>17.149730000000002</v>
      </c>
      <c r="J40" s="1198">
        <v>1.2</v>
      </c>
      <c r="K40" s="1201">
        <f>($X$95*$J$40)+($X$133*$J$40)</f>
        <v>9.1250953930956324</v>
      </c>
      <c r="L40" s="1201">
        <f>($W$146*$J$40)+($W$184*$J$40)</f>
        <v>11.855737965646426</v>
      </c>
      <c r="M40"/>
    </row>
    <row r="41" spans="2:13" ht="15" customHeight="1">
      <c r="B41" s="15" t="s">
        <v>247</v>
      </c>
      <c r="C41" s="158"/>
      <c r="D41" s="1275"/>
      <c r="E41" s="1275"/>
      <c r="F41" s="1275"/>
      <c r="G41" s="1275"/>
      <c r="H41" s="139">
        <v>11</v>
      </c>
      <c r="I41" s="58">
        <f t="shared" si="2"/>
        <v>145.1131</v>
      </c>
      <c r="J41" s="139"/>
      <c r="K41" s="58"/>
      <c r="L41" s="58"/>
      <c r="M41"/>
    </row>
    <row r="42" spans="2:13">
      <c r="B42" s="1197" t="s">
        <v>165</v>
      </c>
      <c r="C42" s="1200"/>
      <c r="D42" s="1274"/>
      <c r="E42" s="1274"/>
      <c r="F42" s="1274"/>
      <c r="G42" s="1274"/>
      <c r="H42" s="1198">
        <v>5.5</v>
      </c>
      <c r="I42" s="1201">
        <f t="shared" si="2"/>
        <v>72.556550000000001</v>
      </c>
      <c r="J42" s="1198"/>
      <c r="K42" s="1201"/>
      <c r="L42" s="1201"/>
      <c r="M42"/>
    </row>
    <row r="43" spans="2:13">
      <c r="B43" s="15" t="s">
        <v>177</v>
      </c>
      <c r="C43" s="158"/>
      <c r="D43" s="1275"/>
      <c r="E43" s="1275"/>
      <c r="F43" s="1275"/>
      <c r="G43" s="1275"/>
      <c r="H43" s="139">
        <v>51</v>
      </c>
      <c r="I43" s="58">
        <f t="shared" si="2"/>
        <v>672.7971</v>
      </c>
      <c r="J43" s="139"/>
      <c r="K43" s="58"/>
      <c r="L43" s="58"/>
      <c r="M43"/>
    </row>
    <row r="44" spans="2:13">
      <c r="B44" s="1197" t="s">
        <v>925</v>
      </c>
      <c r="C44" s="1200"/>
      <c r="D44" s="1274"/>
      <c r="E44" s="1274"/>
      <c r="F44" s="1274"/>
      <c r="G44" s="1274"/>
      <c r="H44" s="1198">
        <v>37</v>
      </c>
      <c r="I44" s="1201">
        <f t="shared" si="2"/>
        <v>488.10770000000002</v>
      </c>
      <c r="J44" s="1198"/>
      <c r="K44" s="1201"/>
      <c r="L44" s="1201"/>
      <c r="M44"/>
    </row>
    <row r="45" spans="2:13" ht="15" customHeight="1">
      <c r="B45" s="15" t="s">
        <v>248</v>
      </c>
      <c r="C45" s="158" t="s">
        <v>163</v>
      </c>
      <c r="D45" s="1275" t="s">
        <v>154</v>
      </c>
      <c r="E45" s="1275"/>
      <c r="F45" s="1275"/>
      <c r="G45" s="1275"/>
      <c r="H45" s="90">
        <v>16</v>
      </c>
      <c r="I45" s="58">
        <f t="shared" si="2"/>
        <v>211.0736</v>
      </c>
      <c r="J45" s="139">
        <v>0.5</v>
      </c>
      <c r="K45" s="58">
        <f>($X$94*$J$45)</f>
        <v>5.6792833599999994</v>
      </c>
      <c r="L45" s="58">
        <f>($W$145*$J$45)</f>
        <v>4.8213885683253004</v>
      </c>
      <c r="M45"/>
    </row>
    <row r="46" spans="2:13">
      <c r="B46" s="1197" t="s">
        <v>340</v>
      </c>
      <c r="C46" s="1200" t="s">
        <v>163</v>
      </c>
      <c r="D46" s="1274" t="s">
        <v>154</v>
      </c>
      <c r="E46" s="1274"/>
      <c r="F46" s="1274"/>
      <c r="G46" s="1274"/>
      <c r="H46" s="1198">
        <v>7</v>
      </c>
      <c r="I46" s="1201">
        <f t="shared" si="2"/>
        <v>92.344700000000003</v>
      </c>
      <c r="J46" s="1198">
        <v>0.5</v>
      </c>
      <c r="K46" s="1201">
        <f>($X$94*$J$46)</f>
        <v>5.6792833599999994</v>
      </c>
      <c r="L46" s="1201">
        <f>($W$145*$J$46)</f>
        <v>4.8213885683253004</v>
      </c>
      <c r="M46"/>
    </row>
    <row r="47" spans="2:13" ht="15" customHeight="1">
      <c r="B47" s="1267" t="s">
        <v>926</v>
      </c>
      <c r="C47" s="1267"/>
      <c r="D47" s="1275"/>
      <c r="E47" s="1275"/>
      <c r="F47" s="1275"/>
      <c r="G47" s="1275"/>
      <c r="H47" s="139">
        <v>13</v>
      </c>
      <c r="I47" s="58">
        <f t="shared" si="2"/>
        <v>171.4973</v>
      </c>
      <c r="J47" s="139"/>
      <c r="K47" s="58"/>
      <c r="L47" s="58"/>
      <c r="M47"/>
    </row>
    <row r="48" spans="2:13" ht="15" customHeight="1">
      <c r="B48" s="1197" t="s">
        <v>175</v>
      </c>
      <c r="C48" s="1200" t="s">
        <v>163</v>
      </c>
      <c r="D48" s="1274" t="str">
        <f>$B$129</f>
        <v>Lilliston rolling cultivator/side-dresser</v>
      </c>
      <c r="E48" s="1274"/>
      <c r="F48" s="1274"/>
      <c r="G48" s="1274"/>
      <c r="H48" s="1198">
        <v>1.1000000000000001</v>
      </c>
      <c r="I48" s="1201">
        <f t="shared" si="2"/>
        <v>14.511310000000002</v>
      </c>
      <c r="J48" s="1198">
        <v>0.9</v>
      </c>
      <c r="K48" s="1201">
        <f>($X$94*$J$48)+($X$128*$J$48)</f>
        <v>10.298096237390258</v>
      </c>
      <c r="L48" s="1201">
        <f>($W$145*$J$48)+($W$180*$J$48)</f>
        <v>87.235642280128374</v>
      </c>
      <c r="M48"/>
    </row>
    <row r="49" spans="2:13" ht="15" customHeight="1">
      <c r="B49" s="15" t="s">
        <v>174</v>
      </c>
      <c r="C49" s="158" t="s">
        <v>163</v>
      </c>
      <c r="D49" s="1275" t="s">
        <v>154</v>
      </c>
      <c r="E49" s="1275"/>
      <c r="F49" s="1275"/>
      <c r="G49" s="1275"/>
      <c r="H49" s="139">
        <v>14</v>
      </c>
      <c r="I49" s="58">
        <f t="shared" si="2"/>
        <v>184.68940000000001</v>
      </c>
      <c r="J49" s="139">
        <v>0.5</v>
      </c>
      <c r="K49" s="58">
        <f>($X$94*$J$49)</f>
        <v>5.6792833599999994</v>
      </c>
      <c r="L49" s="58">
        <f>($W$145*$J$49)</f>
        <v>4.8213885683253004</v>
      </c>
      <c r="M49"/>
    </row>
    <row r="50" spans="2:13">
      <c r="B50" s="1197" t="s">
        <v>354</v>
      </c>
      <c r="C50" s="1200"/>
      <c r="D50" s="1274"/>
      <c r="E50" s="1274"/>
      <c r="F50" s="1274"/>
      <c r="G50" s="1274"/>
      <c r="H50" s="1198">
        <v>14</v>
      </c>
      <c r="I50" s="1201">
        <f t="shared" si="2"/>
        <v>184.68940000000001</v>
      </c>
      <c r="J50" s="1198"/>
      <c r="K50" s="1201"/>
      <c r="L50" s="1201"/>
      <c r="M50"/>
    </row>
    <row r="51" spans="2:13" ht="15" customHeight="1">
      <c r="B51" s="15" t="s">
        <v>176</v>
      </c>
      <c r="C51" s="158"/>
      <c r="D51" s="1275"/>
      <c r="E51" s="1275"/>
      <c r="F51" s="1275"/>
      <c r="G51" s="1275"/>
      <c r="H51" s="139">
        <v>5</v>
      </c>
      <c r="I51" s="58">
        <f t="shared" si="2"/>
        <v>65.960499999999996</v>
      </c>
      <c r="J51" s="139"/>
      <c r="K51" s="58"/>
      <c r="L51" s="58"/>
      <c r="M51"/>
    </row>
    <row r="52" spans="2:13">
      <c r="B52" s="11"/>
      <c r="C52" s="11"/>
      <c r="D52" s="1275"/>
      <c r="E52" s="1275"/>
      <c r="F52" s="1275"/>
      <c r="G52" s="1275"/>
      <c r="H52" s="261"/>
      <c r="I52" s="619"/>
      <c r="J52" s="262"/>
      <c r="K52" s="619"/>
      <c r="L52" s="58"/>
      <c r="M52"/>
    </row>
    <row r="53" spans="2:13" ht="15" customHeight="1">
      <c r="B53" s="69" t="s">
        <v>160</v>
      </c>
      <c r="C53" s="268"/>
      <c r="D53" s="1283"/>
      <c r="E53" s="1283"/>
      <c r="F53" s="1283"/>
      <c r="G53" s="1283"/>
      <c r="H53" s="1207"/>
      <c r="I53" s="257"/>
      <c r="J53" s="1207"/>
      <c r="K53" s="257"/>
      <c r="L53" s="257"/>
      <c r="M53"/>
    </row>
    <row r="54" spans="2:13" ht="15" customHeight="1">
      <c r="B54" s="1199" t="s">
        <v>318</v>
      </c>
      <c r="C54" s="1200"/>
      <c r="D54" s="1274" t="s">
        <v>161</v>
      </c>
      <c r="E54" s="1274"/>
      <c r="F54" s="1274"/>
      <c r="G54" s="1274"/>
      <c r="H54" s="1198">
        <v>0.5</v>
      </c>
      <c r="I54" s="1201">
        <f t="shared" ref="I54:I59" si="3">H54*$E$84</f>
        <v>6.59605</v>
      </c>
      <c r="J54" s="1198">
        <v>0.5</v>
      </c>
      <c r="K54" s="1201">
        <f>$X$136*$J$54</f>
        <v>0.13284863512476036</v>
      </c>
      <c r="L54" s="1201">
        <f>$W$187*$J$54</f>
        <v>0.73508522727272718</v>
      </c>
      <c r="M54"/>
    </row>
    <row r="55" spans="2:13" ht="15" customHeight="1">
      <c r="B55" s="55" t="s">
        <v>302</v>
      </c>
      <c r="C55" s="54" t="s">
        <v>162</v>
      </c>
      <c r="D55" s="1282" t="s">
        <v>303</v>
      </c>
      <c r="E55" s="1282"/>
      <c r="F55" s="1282"/>
      <c r="G55" s="1282"/>
      <c r="H55" s="90">
        <v>2</v>
      </c>
      <c r="I55" s="257">
        <f t="shared" si="3"/>
        <v>26.3842</v>
      </c>
      <c r="J55" s="90">
        <v>2</v>
      </c>
      <c r="K55" s="620">
        <f>($X$95*$J$55)+($X$137*$J$55)</f>
        <v>14.792442634536425</v>
      </c>
      <c r="L55" s="620">
        <f>($W$146*$J$55)+($W$188*$J$55)</f>
        <v>14.444040020263422</v>
      </c>
      <c r="M55"/>
    </row>
    <row r="56" spans="2:13" ht="15" customHeight="1">
      <c r="B56" s="1199" t="s">
        <v>369</v>
      </c>
      <c r="C56" s="1200" t="s">
        <v>163</v>
      </c>
      <c r="D56" s="1274" t="str">
        <f>$B$115</f>
        <v>Rain-Flo Challenger 1800 Mulch Lifter</v>
      </c>
      <c r="E56" s="1274"/>
      <c r="F56" s="1274"/>
      <c r="G56" s="1274"/>
      <c r="H56" s="1198">
        <v>1</v>
      </c>
      <c r="I56" s="1201">
        <f t="shared" si="3"/>
        <v>13.1921</v>
      </c>
      <c r="J56" s="1198">
        <v>1</v>
      </c>
      <c r="K56" s="1208">
        <f>($X$94*$J$56)+($X$115*$J$56)</f>
        <v>11.56894640577524</v>
      </c>
      <c r="L56" s="1208">
        <f>($W$145*$J$56)+($W$166*$J$56)</f>
        <v>23.437419993793462</v>
      </c>
      <c r="M56"/>
    </row>
    <row r="57" spans="2:13" ht="15" customHeight="1">
      <c r="B57" s="22" t="s">
        <v>370</v>
      </c>
      <c r="C57" s="158" t="s">
        <v>163</v>
      </c>
      <c r="D57" s="1275" t="str">
        <f>$B$115</f>
        <v>Rain-Flo Challenger 1800 Mulch Lifter</v>
      </c>
      <c r="E57" s="1275"/>
      <c r="F57" s="1275"/>
      <c r="G57" s="1275"/>
      <c r="H57" s="139">
        <v>0.8</v>
      </c>
      <c r="I57" s="58">
        <f t="shared" si="3"/>
        <v>10.55368</v>
      </c>
      <c r="J57" s="139">
        <v>0.75</v>
      </c>
      <c r="K57" s="621">
        <f>($X$94*$J$57)+($X$115*$J$57)</f>
        <v>8.6767098043314288</v>
      </c>
      <c r="L57" s="621">
        <f>($W$145*$J$57)+($W$166*$J$57)</f>
        <v>17.578064995345095</v>
      </c>
      <c r="M57"/>
    </row>
    <row r="58" spans="2:13" ht="15" customHeight="1">
      <c r="B58" s="1199" t="s">
        <v>368</v>
      </c>
      <c r="C58" s="1200" t="s">
        <v>163</v>
      </c>
      <c r="D58" s="1274" t="str">
        <f>$B$138</f>
        <v>Pixall Bean Harvester</v>
      </c>
      <c r="E58" s="1274"/>
      <c r="F58" s="1274"/>
      <c r="G58" s="1274"/>
      <c r="H58" s="1198">
        <v>8</v>
      </c>
      <c r="I58" s="1201">
        <f t="shared" si="3"/>
        <v>105.5368</v>
      </c>
      <c r="J58" s="1198">
        <v>4</v>
      </c>
      <c r="K58" s="1201">
        <f>($X$94*$J$58)+($X$138*$J$58)</f>
        <v>49.581466879999994</v>
      </c>
      <c r="L58" s="1201">
        <f>($W$145*$J$58)+($W$189*$J$58)</f>
        <v>509.4044418799358</v>
      </c>
      <c r="M58"/>
    </row>
    <row r="59" spans="2:13" s="30" customFormat="1" ht="15" customHeight="1">
      <c r="B59" s="22" t="s">
        <v>371</v>
      </c>
      <c r="C59" s="158" t="s">
        <v>163</v>
      </c>
      <c r="D59" s="1275" t="str">
        <f>$B$128</f>
        <v>Willsie potato planter/harvester</v>
      </c>
      <c r="E59" s="1275"/>
      <c r="F59" s="1275"/>
      <c r="G59" s="1275"/>
      <c r="H59" s="139">
        <v>0.8</v>
      </c>
      <c r="I59" s="58">
        <f t="shared" si="3"/>
        <v>10.55368</v>
      </c>
      <c r="J59" s="139">
        <v>0.8</v>
      </c>
      <c r="K59" s="58">
        <f>($X$94*$J$59)+($X$128*$J$59)</f>
        <v>9.153863322124673</v>
      </c>
      <c r="L59" s="58">
        <f>($W$145*$J$59)+($W$179*$J$59)</f>
        <v>16.642793137891911</v>
      </c>
    </row>
    <row r="60" spans="2:13">
      <c r="B60" s="22"/>
      <c r="C60" s="158"/>
      <c r="D60" s="1275"/>
      <c r="E60" s="1275"/>
      <c r="F60" s="1275"/>
      <c r="G60" s="1275"/>
      <c r="H60" s="139"/>
      <c r="I60" s="58"/>
      <c r="J60" s="139"/>
      <c r="K60" s="619"/>
      <c r="L60" s="58"/>
      <c r="M60"/>
    </row>
    <row r="61" spans="2:13">
      <c r="B61" s="69" t="s">
        <v>147</v>
      </c>
      <c r="C61" s="268"/>
      <c r="D61" s="1283"/>
      <c r="E61" s="1283"/>
      <c r="F61" s="1283"/>
      <c r="G61" s="1283"/>
      <c r="H61" s="1207"/>
      <c r="I61" s="257"/>
      <c r="J61" s="1207"/>
      <c r="K61" s="257"/>
      <c r="L61" s="257"/>
      <c r="M61"/>
    </row>
    <row r="62" spans="2:13" ht="15" customHeight="1">
      <c r="B62" s="1199" t="s">
        <v>42</v>
      </c>
      <c r="C62" s="1200" t="s">
        <v>162</v>
      </c>
      <c r="D62" s="1274" t="str">
        <f>$D$9</f>
        <v>Edwards 8' Flail Mower</v>
      </c>
      <c r="E62" s="1274"/>
      <c r="F62" s="1274"/>
      <c r="G62" s="1274"/>
      <c r="H62" s="1198">
        <v>0.8</v>
      </c>
      <c r="I62" s="1201">
        <f t="shared" ref="I62:I72" si="4">H62*$E$84</f>
        <v>10.55368</v>
      </c>
      <c r="J62" s="1198">
        <v>0.8</v>
      </c>
      <c r="K62" s="1201">
        <f>($X$95*$J$62)+($X$103*$J$62)</f>
        <v>8.1859214566429603</v>
      </c>
      <c r="L62" s="1201">
        <f>($W$146*$J$62)+($W$154*$J$62)</f>
        <v>7.508305016148265</v>
      </c>
      <c r="M62"/>
    </row>
    <row r="63" spans="2:13" ht="15" customHeight="1">
      <c r="B63" s="22" t="s">
        <v>149</v>
      </c>
      <c r="C63" s="158" t="s">
        <v>163</v>
      </c>
      <c r="D63" s="1275" t="str">
        <f>$B$115</f>
        <v>Rain-Flo Challenger 1800 Mulch Lifter</v>
      </c>
      <c r="E63" s="1275"/>
      <c r="F63" s="1275"/>
      <c r="G63" s="1275"/>
      <c r="H63" s="139">
        <v>0.6</v>
      </c>
      <c r="I63" s="58">
        <f t="shared" si="4"/>
        <v>7.91526</v>
      </c>
      <c r="J63" s="139">
        <v>0.6</v>
      </c>
      <c r="K63" s="621">
        <f>($X$94*$J$63)+($X$115*$J$63)</f>
        <v>6.9413678434651436</v>
      </c>
      <c r="L63" s="621">
        <f>($W$145*$J$63)+($W$166*$J$63)</f>
        <v>14.062451996276074</v>
      </c>
      <c r="M63"/>
    </row>
    <row r="64" spans="2:13">
      <c r="B64" s="1199" t="s">
        <v>183</v>
      </c>
      <c r="C64" s="1200" t="s">
        <v>163</v>
      </c>
      <c r="D64" s="1274" t="s">
        <v>152</v>
      </c>
      <c r="E64" s="1274"/>
      <c r="F64" s="1274"/>
      <c r="G64" s="1274"/>
      <c r="H64" s="1198">
        <v>2</v>
      </c>
      <c r="I64" s="1201">
        <f t="shared" si="4"/>
        <v>26.3842</v>
      </c>
      <c r="J64" s="1198">
        <v>0.4</v>
      </c>
      <c r="K64" s="1201">
        <f>($X$94*$J$64)</f>
        <v>4.5434266879999994</v>
      </c>
      <c r="L64" s="1201">
        <f>($W$145*$J$64)</f>
        <v>3.8571108546602404</v>
      </c>
      <c r="M64"/>
    </row>
    <row r="65" spans="2:15">
      <c r="B65" s="22" t="s">
        <v>150</v>
      </c>
      <c r="C65" s="158" t="s">
        <v>163</v>
      </c>
      <c r="D65" s="1275" t="s">
        <v>152</v>
      </c>
      <c r="E65" s="1275"/>
      <c r="F65" s="1275"/>
      <c r="G65" s="1275"/>
      <c r="H65" s="139">
        <v>3.2</v>
      </c>
      <c r="I65" s="58">
        <f t="shared" si="4"/>
        <v>42.21472</v>
      </c>
      <c r="J65" s="139">
        <v>0.3</v>
      </c>
      <c r="K65" s="58">
        <f>($X$94*$J$65)</f>
        <v>3.4075700159999998</v>
      </c>
      <c r="L65" s="58">
        <f>($W$145*$J$65)</f>
        <v>2.89283314099518</v>
      </c>
      <c r="M65"/>
    </row>
    <row r="66" spans="2:15" ht="15" customHeight="1">
      <c r="B66" s="1199" t="s">
        <v>43</v>
      </c>
      <c r="C66" s="1200" t="s">
        <v>163</v>
      </c>
      <c r="D66" s="1274" t="str">
        <f>'BW2-Field Act. Labor &amp; Mach.'!$B$104</f>
        <v>Disc Harrow</v>
      </c>
      <c r="E66" s="1274"/>
      <c r="F66" s="1274"/>
      <c r="G66" s="1274"/>
      <c r="H66" s="1198">
        <v>0.4</v>
      </c>
      <c r="I66" s="1201">
        <f t="shared" si="4"/>
        <v>5.27684</v>
      </c>
      <c r="J66" s="1198">
        <v>0.4</v>
      </c>
      <c r="K66" s="1201">
        <f>($X$94*$J$66)+($X$104*$J$66)</f>
        <v>4.7393418269465482</v>
      </c>
      <c r="L66" s="1201">
        <f>($W$145*$J$66)+($W$155*$J$66)</f>
        <v>4.8215303303156709</v>
      </c>
      <c r="M66"/>
    </row>
    <row r="67" spans="2:15" ht="15" customHeight="1">
      <c r="B67" s="22" t="s">
        <v>44</v>
      </c>
      <c r="C67" s="158" t="s">
        <v>163</v>
      </c>
      <c r="D67" s="1275" t="str">
        <f>$B$107</f>
        <v>Tufline 2-Shank Subsoiler</v>
      </c>
      <c r="E67" s="1275"/>
      <c r="F67" s="1275"/>
      <c r="G67" s="1275"/>
      <c r="H67" s="139">
        <v>0.4</v>
      </c>
      <c r="I67" s="58">
        <f t="shared" si="4"/>
        <v>5.27684</v>
      </c>
      <c r="J67" s="139">
        <v>0.4</v>
      </c>
      <c r="K67" s="58">
        <f>($X$94*$J$67)+($X$107*$J$67)</f>
        <v>4.5754035882945541</v>
      </c>
      <c r="L67" s="58">
        <f>($W$145*$J$67)+($W$158*$J$67)</f>
        <v>8.7882358546602415</v>
      </c>
      <c r="M67"/>
    </row>
    <row r="68" spans="2:15" ht="15" customHeight="1">
      <c r="B68" s="1199" t="s">
        <v>148</v>
      </c>
      <c r="C68" s="1200" t="s">
        <v>162</v>
      </c>
      <c r="D68" s="1274" t="str">
        <f>$B$108</f>
        <v>Custom 8' Field Cultivator</v>
      </c>
      <c r="E68" s="1274"/>
      <c r="F68" s="1274"/>
      <c r="G68" s="1274"/>
      <c r="H68" s="1198">
        <v>0.5</v>
      </c>
      <c r="I68" s="1201">
        <f t="shared" si="4"/>
        <v>6.59605</v>
      </c>
      <c r="J68" s="1198">
        <v>0.5</v>
      </c>
      <c r="K68" s="1201">
        <f>($X$95*$J$68)+($X$108*$J$68)</f>
        <v>3.7281613670297151</v>
      </c>
      <c r="L68" s="1201">
        <f>($W$146*$J$68)+($W$159*$J$68)</f>
        <v>3.4161206017736747</v>
      </c>
      <c r="M68"/>
    </row>
    <row r="69" spans="2:15" ht="15" customHeight="1">
      <c r="B69" s="22" t="s">
        <v>45</v>
      </c>
      <c r="C69" s="158" t="s">
        <v>162</v>
      </c>
      <c r="D69" s="1275" t="str">
        <f>'BW2-Field Act. Labor &amp; Mach.'!$B$102</f>
        <v>Tye Pasture Pleaser No-till Grain Drill</v>
      </c>
      <c r="E69" s="1275"/>
      <c r="F69" s="1275"/>
      <c r="G69" s="1275"/>
      <c r="H69" s="139">
        <v>1.1000000000000001</v>
      </c>
      <c r="I69" s="58">
        <f t="shared" si="4"/>
        <v>14.511310000000002</v>
      </c>
      <c r="J69" s="139">
        <v>0.7</v>
      </c>
      <c r="K69" s="58">
        <f>($X$95*$J$69)+($X$102*$J$69)</f>
        <v>5.9046727740142977</v>
      </c>
      <c r="L69" s="58">
        <f>($W$146*$J$69)+($W$153*$J$69)</f>
        <v>8.041581086300118</v>
      </c>
      <c r="M69"/>
    </row>
    <row r="70" spans="2:15">
      <c r="B70" s="1199" t="s">
        <v>340</v>
      </c>
      <c r="C70" s="1200" t="s">
        <v>163</v>
      </c>
      <c r="D70" s="1274" t="s">
        <v>154</v>
      </c>
      <c r="E70" s="1274"/>
      <c r="F70" s="1274"/>
      <c r="G70" s="1274"/>
      <c r="H70" s="1198">
        <v>6.5</v>
      </c>
      <c r="I70" s="1201">
        <f t="shared" si="4"/>
        <v>85.748649999999998</v>
      </c>
      <c r="J70" s="1198">
        <v>1</v>
      </c>
      <c r="K70" s="1201">
        <f>($X$94*$J$70)</f>
        <v>11.358566719999999</v>
      </c>
      <c r="L70" s="1201">
        <f>($W$145*$J$70)</f>
        <v>9.6427771366506008</v>
      </c>
      <c r="M70"/>
    </row>
    <row r="71" spans="2:15">
      <c r="B71" s="22" t="s">
        <v>249</v>
      </c>
      <c r="C71" s="158"/>
      <c r="D71" s="1275"/>
      <c r="E71" s="1275"/>
      <c r="F71" s="1275"/>
      <c r="G71" s="1275"/>
      <c r="H71" s="139">
        <v>8.6</v>
      </c>
      <c r="I71" s="58">
        <f t="shared" si="4"/>
        <v>113.45205999999999</v>
      </c>
      <c r="J71" s="139"/>
      <c r="K71" s="58"/>
      <c r="L71" s="58"/>
      <c r="M71"/>
    </row>
    <row r="72" spans="2:15" ht="15" customHeight="1">
      <c r="B72" s="1209" t="s">
        <v>250</v>
      </c>
      <c r="C72" s="1210" t="s">
        <v>163</v>
      </c>
      <c r="D72" s="1286" t="s">
        <v>154</v>
      </c>
      <c r="E72" s="1286"/>
      <c r="F72" s="1286"/>
      <c r="G72" s="1286"/>
      <c r="H72" s="1211">
        <v>6</v>
      </c>
      <c r="I72" s="1212">
        <f t="shared" si="4"/>
        <v>79.152600000000007</v>
      </c>
      <c r="J72" s="1211">
        <v>1.1000000000000001</v>
      </c>
      <c r="K72" s="1212">
        <f>($X$94*$J$72)</f>
        <v>12.494423392</v>
      </c>
      <c r="L72" s="1212">
        <f>($W$145*$J$72)</f>
        <v>10.607054850315661</v>
      </c>
      <c r="M72"/>
    </row>
    <row r="73" spans="2:15" ht="18">
      <c r="B73" s="83" t="s">
        <v>733</v>
      </c>
      <c r="C73" s="158"/>
      <c r="D73" s="1121"/>
      <c r="E73" s="1121"/>
      <c r="F73" s="1121"/>
      <c r="G73" s="1121"/>
      <c r="H73" s="139"/>
      <c r="I73" s="173"/>
      <c r="J73" s="139"/>
      <c r="K73" s="173"/>
      <c r="L73" s="173"/>
      <c r="M73"/>
    </row>
    <row r="74" spans="2:15" ht="15" customHeight="1">
      <c r="B74" s="22"/>
      <c r="C74" s="158"/>
      <c r="D74" s="606"/>
      <c r="E74" s="606"/>
      <c r="F74" s="606"/>
      <c r="G74" s="606"/>
      <c r="H74" s="139"/>
      <c r="I74" s="173"/>
      <c r="J74" s="139"/>
      <c r="K74" s="173"/>
      <c r="L74" s="173"/>
      <c r="M74"/>
    </row>
    <row r="75" spans="2:15" ht="15" customHeight="1">
      <c r="B75" s="22"/>
      <c r="C75" s="158"/>
      <c r="D75" s="606"/>
      <c r="E75" s="606"/>
      <c r="F75" s="606"/>
      <c r="G75" s="606"/>
      <c r="H75" s="139"/>
      <c r="I75" s="173"/>
      <c r="J75" s="139"/>
      <c r="K75" s="173"/>
      <c r="L75" s="173"/>
      <c r="M75"/>
    </row>
    <row r="76" spans="2:15" ht="15" customHeight="1">
      <c r="B76" s="22"/>
      <c r="C76" s="158"/>
      <c r="D76" s="606"/>
      <c r="E76" s="606"/>
      <c r="F76" s="606"/>
      <c r="G76" s="606"/>
      <c r="H76" s="139"/>
      <c r="I76" s="173"/>
      <c r="J76" s="139"/>
      <c r="K76" s="173"/>
      <c r="L76" s="173"/>
      <c r="M76"/>
    </row>
    <row r="77" spans="2:15">
      <c r="B77" s="22"/>
      <c r="C77" s="158"/>
      <c r="D77" s="158"/>
      <c r="E77" s="158"/>
      <c r="F77" s="158"/>
      <c r="G77" s="874"/>
      <c r="H77" s="139"/>
      <c r="I77" s="58"/>
      <c r="J77" s="139"/>
      <c r="K77" s="139"/>
      <c r="L77" s="139"/>
      <c r="M77" s="58"/>
    </row>
    <row r="78" spans="2:15" s="164" customFormat="1" ht="16" thickBot="1">
      <c r="B78" s="93"/>
      <c r="F78" s="891"/>
      <c r="G78" s="892"/>
      <c r="H78" s="893"/>
      <c r="I78" s="891"/>
      <c r="J78" s="893"/>
      <c r="K78" s="165"/>
      <c r="L78" s="165"/>
      <c r="M78" s="88"/>
      <c r="N78" s="92"/>
      <c r="O78" s="88"/>
    </row>
    <row r="79" spans="2:15" s="339" customFormat="1" ht="17" customHeight="1" thickBot="1">
      <c r="B79" s="410" t="s">
        <v>597</v>
      </c>
      <c r="C79" s="902"/>
      <c r="D79" s="902"/>
      <c r="E79" s="903"/>
      <c r="F79" s="897"/>
      <c r="G79" s="897"/>
      <c r="H79" s="897"/>
      <c r="I79" s="897"/>
      <c r="J79" s="894"/>
      <c r="K79" s="338"/>
      <c r="L79" s="338"/>
      <c r="M79" s="252"/>
    </row>
    <row r="80" spans="2:15" ht="30">
      <c r="B80" s="899"/>
      <c r="C80" s="904" t="s">
        <v>234</v>
      </c>
      <c r="D80" s="900" t="s">
        <v>882</v>
      </c>
      <c r="E80" s="901" t="s">
        <v>244</v>
      </c>
      <c r="F80" s="895"/>
      <c r="G80" s="895"/>
      <c r="H80" s="896"/>
      <c r="I80" s="261"/>
      <c r="J80" s="262"/>
      <c r="K80" s="163"/>
      <c r="L80" s="163"/>
      <c r="M80"/>
    </row>
    <row r="81" spans="1:50" ht="15" customHeight="1">
      <c r="B81" s="103" t="s">
        <v>693</v>
      </c>
      <c r="C81" s="888">
        <v>13</v>
      </c>
      <c r="D81" s="46">
        <v>11</v>
      </c>
      <c r="E81" s="104">
        <f>(C81+(D81*4))/5</f>
        <v>11.4</v>
      </c>
      <c r="F81" s="889"/>
      <c r="G81" s="889"/>
      <c r="H81" s="896"/>
      <c r="I81" s="261"/>
      <c r="J81" s="262"/>
      <c r="K81" s="163"/>
      <c r="L81" s="163"/>
      <c r="M81"/>
    </row>
    <row r="82" spans="1:50" ht="15" customHeight="1">
      <c r="B82" s="103" t="s">
        <v>99</v>
      </c>
      <c r="C82" s="888">
        <f>C81*0.0765</f>
        <v>0.99449999999999994</v>
      </c>
      <c r="D82" s="49">
        <f>D81*0.0765</f>
        <v>0.84150000000000003</v>
      </c>
      <c r="E82" s="182">
        <f>E81*0.0765</f>
        <v>0.87209999999999999</v>
      </c>
      <c r="F82" s="889"/>
      <c r="G82" s="1074"/>
      <c r="H82" s="896"/>
      <c r="I82" s="261"/>
      <c r="J82" s="262"/>
      <c r="K82" s="163"/>
      <c r="L82" s="163"/>
      <c r="M82"/>
    </row>
    <row r="83" spans="1:50">
      <c r="B83" s="103" t="s">
        <v>697</v>
      </c>
      <c r="C83" s="905">
        <f>C81*0.08</f>
        <v>1.04</v>
      </c>
      <c r="D83" s="906">
        <f>D81*0.08</f>
        <v>0.88</v>
      </c>
      <c r="E83" s="907">
        <f>(C83+(D83*3))/4</f>
        <v>0.92</v>
      </c>
      <c r="F83" s="889"/>
      <c r="G83" s="889"/>
      <c r="H83" s="896"/>
      <c r="I83" s="261"/>
      <c r="J83" s="262"/>
      <c r="K83" s="163"/>
      <c r="L83" s="163"/>
      <c r="M83"/>
    </row>
    <row r="84" spans="1:50" ht="16" thickBot="1">
      <c r="B84" s="898" t="s">
        <v>623</v>
      </c>
      <c r="C84" s="890">
        <f>SUM(C81:C83)</f>
        <v>15.034500000000001</v>
      </c>
      <c r="D84" s="183">
        <f>SUM(D81:D83)</f>
        <v>12.721500000000001</v>
      </c>
      <c r="E84" s="106">
        <f>SUM(E81:E83)</f>
        <v>13.1921</v>
      </c>
      <c r="F84" s="889"/>
      <c r="G84" s="889"/>
      <c r="H84" s="896"/>
      <c r="I84" s="261"/>
      <c r="J84" s="262"/>
      <c r="K84" s="163"/>
      <c r="L84" s="163"/>
      <c r="M84"/>
      <c r="AI84" s="30"/>
    </row>
    <row r="85" spans="1:50">
      <c r="B85" s="1268" t="s">
        <v>911</v>
      </c>
      <c r="C85" s="1269"/>
      <c r="D85" s="1269"/>
      <c r="E85" s="1270"/>
      <c r="F85" s="889"/>
      <c r="G85" s="889"/>
      <c r="H85" s="896"/>
      <c r="I85" s="261"/>
      <c r="J85" s="262"/>
      <c r="K85" s="163"/>
      <c r="L85" s="163"/>
      <c r="M85"/>
      <c r="AI85" s="30"/>
    </row>
    <row r="86" spans="1:50" ht="16" thickBot="1">
      <c r="B86" s="1271"/>
      <c r="C86" s="1272"/>
      <c r="D86" s="1272"/>
      <c r="E86" s="1273"/>
      <c r="F86" s="889"/>
      <c r="G86" s="889"/>
      <c r="H86" s="896"/>
      <c r="I86" s="261"/>
      <c r="J86" s="262"/>
      <c r="K86" s="163"/>
      <c r="L86" s="163"/>
      <c r="M86"/>
      <c r="AI86" s="30"/>
    </row>
    <row r="87" spans="1:50" s="332" customFormat="1" ht="20" customHeight="1" thickBot="1">
      <c r="B87" s="372"/>
      <c r="C87" s="333"/>
      <c r="D87" s="333"/>
      <c r="E87" s="333"/>
      <c r="F87" s="333"/>
      <c r="G87" s="333"/>
      <c r="H87" s="333"/>
      <c r="I87" s="333"/>
      <c r="J87" s="333"/>
      <c r="K87" s="333"/>
      <c r="L87" s="333"/>
      <c r="M87" s="333"/>
      <c r="N87" s="334"/>
      <c r="O87" s="333"/>
      <c r="P87" s="766"/>
      <c r="Q87" s="333"/>
      <c r="R87" s="333"/>
      <c r="S87" s="333"/>
      <c r="T87" s="333"/>
      <c r="U87" s="333"/>
      <c r="V87" s="333"/>
      <c r="W87" s="333"/>
      <c r="X87" s="333"/>
      <c r="Y87" s="333"/>
      <c r="Z87" s="333"/>
      <c r="AA87" s="333"/>
      <c r="AB87" s="333"/>
      <c r="AC87" s="335"/>
      <c r="AD87" s="333"/>
      <c r="AE87" s="333"/>
      <c r="AF87" s="333"/>
      <c r="AG87" s="333"/>
      <c r="AH87" s="333"/>
      <c r="AI87" s="333"/>
      <c r="AJ87" s="260"/>
      <c r="AK87" s="260"/>
      <c r="AL87" s="260"/>
      <c r="AM87" s="260"/>
      <c r="AN87" s="336"/>
      <c r="AO87" s="336"/>
      <c r="AP87" s="336"/>
      <c r="AQ87" s="336"/>
      <c r="AR87" s="336"/>
      <c r="AS87" s="336"/>
      <c r="AT87" s="336"/>
      <c r="AU87" s="336"/>
      <c r="AV87" s="336"/>
      <c r="AW87" s="336"/>
      <c r="AX87" s="336"/>
    </row>
    <row r="88" spans="1:50" s="30" customFormat="1" ht="19" thickBot="1">
      <c r="B88" s="410" t="s">
        <v>598</v>
      </c>
      <c r="C88" s="411"/>
      <c r="D88" s="411"/>
      <c r="E88" s="411"/>
      <c r="F88" s="411"/>
      <c r="G88" s="411"/>
      <c r="H88" s="411"/>
      <c r="I88" s="411"/>
      <c r="J88" s="411"/>
      <c r="K88" s="411"/>
      <c r="L88" s="411"/>
      <c r="M88" s="411"/>
      <c r="N88" s="411"/>
      <c r="O88" s="411"/>
      <c r="P88" s="411"/>
      <c r="Q88" s="412"/>
      <c r="R88" s="412"/>
      <c r="S88" s="412"/>
      <c r="T88" s="412"/>
      <c r="U88" s="412"/>
      <c r="V88" s="411"/>
      <c r="W88" s="1072">
        <v>10</v>
      </c>
      <c r="X88" s="1073" t="s">
        <v>510</v>
      </c>
      <c r="Y88" s="1041" t="s">
        <v>924</v>
      </c>
      <c r="Z88" s="41"/>
      <c r="AA88" s="41"/>
      <c r="AB88" s="41"/>
      <c r="AG88" s="41"/>
      <c r="AH88" s="41"/>
      <c r="AI88" s="41"/>
      <c r="AJ88" s="41"/>
      <c r="AK88" s="41"/>
      <c r="AL88" s="41"/>
      <c r="AM88" s="41"/>
      <c r="AN88" s="41"/>
    </row>
    <row r="89" spans="1:50" s="30" customFormat="1" ht="18">
      <c r="B89" s="375"/>
      <c r="C89" s="367" t="s">
        <v>434</v>
      </c>
      <c r="D89" s="368"/>
      <c r="E89" s="368"/>
      <c r="F89" s="368"/>
      <c r="G89" s="368"/>
      <c r="H89" s="368"/>
      <c r="I89" s="368"/>
      <c r="J89" s="368"/>
      <c r="K89" s="368"/>
      <c r="L89" s="368"/>
      <c r="M89" s="368"/>
      <c r="N89" s="368"/>
      <c r="O89" s="368"/>
      <c r="P89" s="369"/>
      <c r="Q89" s="367" t="s">
        <v>207</v>
      </c>
      <c r="R89" s="370"/>
      <c r="S89" s="370"/>
      <c r="T89" s="370"/>
      <c r="U89" s="371"/>
      <c r="V89" s="386"/>
      <c r="W89" s="367" t="s">
        <v>483</v>
      </c>
      <c r="X89" s="371"/>
      <c r="Y89" s="337"/>
      <c r="Z89" s="41"/>
      <c r="AA89" s="41"/>
      <c r="AB89" s="41"/>
      <c r="AG89" s="41"/>
      <c r="AH89" s="41"/>
      <c r="AI89" s="41"/>
      <c r="AJ89" s="41"/>
      <c r="AK89" s="41"/>
      <c r="AL89" s="41"/>
      <c r="AM89" s="41"/>
      <c r="AN89" s="41"/>
    </row>
    <row r="90" spans="1:50" ht="101" customHeight="1">
      <c r="A90" s="1285"/>
      <c r="B90" s="878" t="s">
        <v>235</v>
      </c>
      <c r="C90" s="879" t="s">
        <v>17</v>
      </c>
      <c r="D90" s="880" t="s">
        <v>428</v>
      </c>
      <c r="E90" s="881" t="s">
        <v>15</v>
      </c>
      <c r="F90" s="881" t="s">
        <v>16</v>
      </c>
      <c r="G90" s="881" t="s">
        <v>529</v>
      </c>
      <c r="H90" s="881" t="s">
        <v>528</v>
      </c>
      <c r="I90" s="881" t="s">
        <v>525</v>
      </c>
      <c r="J90" s="881" t="s">
        <v>524</v>
      </c>
      <c r="K90" s="881" t="s">
        <v>935</v>
      </c>
      <c r="L90" s="881" t="s">
        <v>694</v>
      </c>
      <c r="M90" s="881" t="s">
        <v>245</v>
      </c>
      <c r="N90" s="881" t="s">
        <v>18</v>
      </c>
      <c r="O90" s="881" t="s">
        <v>19</v>
      </c>
      <c r="P90" s="882" t="s">
        <v>758</v>
      </c>
      <c r="Q90" s="879" t="s">
        <v>429</v>
      </c>
      <c r="R90" s="880" t="s">
        <v>430</v>
      </c>
      <c r="S90" s="880" t="s">
        <v>431</v>
      </c>
      <c r="T90" s="880" t="s">
        <v>256</v>
      </c>
      <c r="U90" s="884" t="s">
        <v>257</v>
      </c>
      <c r="V90" s="883"/>
      <c r="W90" s="879" t="s">
        <v>530</v>
      </c>
      <c r="X90" s="884" t="s">
        <v>531</v>
      </c>
      <c r="Y90" s="187"/>
    </row>
    <row r="91" spans="1:50">
      <c r="A91" s="1285"/>
      <c r="B91" s="376"/>
      <c r="C91" s="354"/>
      <c r="D91" s="150"/>
      <c r="E91" s="185"/>
      <c r="F91" s="185"/>
      <c r="G91" s="185"/>
      <c r="H91" s="185"/>
      <c r="I91" s="185"/>
      <c r="J91" s="187"/>
      <c r="K91" s="187"/>
      <c r="L91" s="187"/>
      <c r="M91" s="186"/>
      <c r="N91" s="187"/>
      <c r="O91" s="187"/>
      <c r="P91" s="355"/>
      <c r="Q91" s="347"/>
      <c r="R91" s="188"/>
      <c r="S91" s="615" t="s">
        <v>521</v>
      </c>
      <c r="T91" s="39">
        <v>2.7</v>
      </c>
      <c r="U91" s="1102"/>
      <c r="V91" s="387"/>
      <c r="W91" s="347"/>
      <c r="X91" s="340"/>
      <c r="Y91" s="187"/>
    </row>
    <row r="92" spans="1:50">
      <c r="A92" s="1285"/>
      <c r="B92" s="376"/>
      <c r="C92" s="354"/>
      <c r="D92" s="150"/>
      <c r="E92" s="185"/>
      <c r="F92" s="185"/>
      <c r="G92" s="185"/>
      <c r="H92" s="185"/>
      <c r="I92" s="185"/>
      <c r="J92" s="187"/>
      <c r="K92" s="187"/>
      <c r="L92" s="187"/>
      <c r="M92" s="186"/>
      <c r="N92" s="187"/>
      <c r="O92" s="187"/>
      <c r="P92" s="355"/>
      <c r="Q92" s="347"/>
      <c r="R92" s="188"/>
      <c r="S92" s="615" t="s">
        <v>522</v>
      </c>
      <c r="T92" s="39">
        <v>2.2999999999999998</v>
      </c>
      <c r="U92" s="1102"/>
      <c r="V92" s="387"/>
      <c r="W92" s="347"/>
      <c r="X92" s="340"/>
      <c r="Y92" s="187"/>
    </row>
    <row r="93" spans="1:50">
      <c r="A93" s="1285"/>
      <c r="B93" s="377" t="s">
        <v>432</v>
      </c>
      <c r="C93" s="356"/>
      <c r="D93" s="316"/>
      <c r="E93" s="317"/>
      <c r="F93" s="317"/>
      <c r="G93" s="317"/>
      <c r="H93" s="317"/>
      <c r="I93" s="317"/>
      <c r="J93" s="318"/>
      <c r="K93" s="318"/>
      <c r="L93" s="318"/>
      <c r="M93" s="319"/>
      <c r="N93" s="318"/>
      <c r="O93" s="318"/>
      <c r="P93" s="357"/>
      <c r="Q93" s="348"/>
      <c r="R93" s="321"/>
      <c r="S93" s="321"/>
      <c r="T93" s="1103"/>
      <c r="U93" s="349"/>
      <c r="V93" s="388"/>
      <c r="W93" s="348"/>
      <c r="X93" s="349"/>
      <c r="Y93" s="65"/>
    </row>
    <row r="94" spans="1:50">
      <c r="A94" s="1285"/>
      <c r="B94" s="378" t="s">
        <v>163</v>
      </c>
      <c r="C94" s="358">
        <v>43707</v>
      </c>
      <c r="D94" s="39">
        <v>45500</v>
      </c>
      <c r="E94" s="194">
        <v>2011</v>
      </c>
      <c r="F94" s="194">
        <v>2011</v>
      </c>
      <c r="G94" s="194">
        <f>E94-F94</f>
        <v>0</v>
      </c>
      <c r="H94" s="194">
        <f>2015-F94</f>
        <v>4</v>
      </c>
      <c r="I94" s="194">
        <v>10000</v>
      </c>
      <c r="J94" s="140">
        <f>I94/P94</f>
        <v>42.427533772316878</v>
      </c>
      <c r="K94" s="140">
        <v>50</v>
      </c>
      <c r="L94" s="140">
        <f>K94-H94</f>
        <v>46</v>
      </c>
      <c r="M94" s="189">
        <v>0.2</v>
      </c>
      <c r="N94" s="66">
        <f>C94*M94</f>
        <v>8741.4</v>
      </c>
      <c r="O94" s="66">
        <f>(C94+N94)/2</f>
        <v>26224.2</v>
      </c>
      <c r="P94" s="359">
        <f>((140.81+6.5)/6.25)*$W$88</f>
        <v>235.69600000000003</v>
      </c>
      <c r="Q94" s="383">
        <v>0.01</v>
      </c>
      <c r="R94" s="323">
        <v>2</v>
      </c>
      <c r="S94" s="67">
        <f>D94*((Q94*(((P94*H94)/1000)^R94))/H94)</f>
        <v>101.10574003712001</v>
      </c>
      <c r="T94" s="35">
        <f>(0.044*80)*(P94*$T$91)</f>
        <v>2240.0547839999999</v>
      </c>
      <c r="U94" s="206">
        <f>0.15*T94</f>
        <v>336.00821759999997</v>
      </c>
      <c r="V94" s="389"/>
      <c r="W94" s="350">
        <f>SUM(S94:U94)</f>
        <v>2677.1687416371201</v>
      </c>
      <c r="X94" s="341">
        <f>W94/P94</f>
        <v>11.358566719999999</v>
      </c>
      <c r="Y94" s="331"/>
    </row>
    <row r="95" spans="1:50">
      <c r="A95" s="1285"/>
      <c r="B95" s="378" t="s">
        <v>162</v>
      </c>
      <c r="C95" s="358">
        <v>20850</v>
      </c>
      <c r="D95" s="39">
        <v>26609</v>
      </c>
      <c r="E95" s="194">
        <v>2004</v>
      </c>
      <c r="F95" s="194">
        <v>2004</v>
      </c>
      <c r="G95" s="194">
        <f>E95-F95</f>
        <v>0</v>
      </c>
      <c r="H95" s="194">
        <f>2015-F95</f>
        <v>11</v>
      </c>
      <c r="I95" s="194">
        <v>10000</v>
      </c>
      <c r="J95" s="140">
        <f>I95/P95</f>
        <v>30.153905533844739</v>
      </c>
      <c r="K95" s="140">
        <v>40</v>
      </c>
      <c r="L95" s="140">
        <f>K95-H95</f>
        <v>29</v>
      </c>
      <c r="M95" s="189">
        <v>0.2</v>
      </c>
      <c r="N95" s="66">
        <f>C95*M95</f>
        <v>4170</v>
      </c>
      <c r="O95" s="66">
        <f>(C95+N95)/2</f>
        <v>12510</v>
      </c>
      <c r="P95" s="359">
        <f>(207.27/6.25)*$W$88</f>
        <v>331.63200000000006</v>
      </c>
      <c r="Q95" s="383">
        <v>0.01</v>
      </c>
      <c r="R95" s="323">
        <v>2</v>
      </c>
      <c r="S95" s="67">
        <f>D95*((Q95*(((P95*H95)/1000)^R95))/H95)</f>
        <v>321.90972628421389</v>
      </c>
      <c r="T95" s="35">
        <f>(0.044*46)*(P95*$T$91)</f>
        <v>1812.3025536000005</v>
      </c>
      <c r="U95" s="206">
        <f>0.15*T95</f>
        <v>271.84538304000006</v>
      </c>
      <c r="V95" s="389"/>
      <c r="W95" s="350">
        <f>SUM(S95:U95)</f>
        <v>2406.0576629242141</v>
      </c>
      <c r="X95" s="341">
        <f>W95/P95</f>
        <v>7.2552035476799999</v>
      </c>
      <c r="Y95" s="331"/>
    </row>
    <row r="96" spans="1:50">
      <c r="A96" s="1285"/>
      <c r="B96" s="378" t="s">
        <v>25</v>
      </c>
      <c r="C96" s="358">
        <v>10992</v>
      </c>
      <c r="D96" s="39">
        <v>9971</v>
      </c>
      <c r="E96" s="194">
        <v>1999</v>
      </c>
      <c r="F96" s="194">
        <v>1995</v>
      </c>
      <c r="G96" s="194">
        <f>E96-F96</f>
        <v>4</v>
      </c>
      <c r="H96" s="194">
        <f>2015-F96</f>
        <v>20</v>
      </c>
      <c r="I96" s="194">
        <v>10000</v>
      </c>
      <c r="J96" s="140">
        <f>I96/P96</f>
        <v>558.53440571939234</v>
      </c>
      <c r="K96" s="140">
        <v>50</v>
      </c>
      <c r="L96" s="140">
        <f>K96-H96</f>
        <v>30</v>
      </c>
      <c r="M96" s="189">
        <v>0.2</v>
      </c>
      <c r="N96" s="66">
        <f>C96*M96</f>
        <v>2198.4</v>
      </c>
      <c r="O96" s="66">
        <f>(C96+N96)/2</f>
        <v>6595.2</v>
      </c>
      <c r="P96" s="359">
        <f>(11.19/6.25)*$W$88</f>
        <v>17.904</v>
      </c>
      <c r="Q96" s="383">
        <v>0.01</v>
      </c>
      <c r="R96" s="323">
        <v>2</v>
      </c>
      <c r="S96" s="67">
        <f>D96*((Q96*(((P96*H96)/1000)^R96))/H96)</f>
        <v>0.63924722334719997</v>
      </c>
      <c r="T96" s="35">
        <f>(0.044*14)*(P96*$T$91)</f>
        <v>29.777932800000002</v>
      </c>
      <c r="U96" s="206">
        <f>0.15*T96</f>
        <v>4.4666899200000003</v>
      </c>
      <c r="V96" s="389"/>
      <c r="W96" s="350">
        <f>SUM(S96:U96)</f>
        <v>34.883869943347207</v>
      </c>
      <c r="X96" s="341">
        <f>W96/P96</f>
        <v>1.9483841568000004</v>
      </c>
      <c r="Y96" s="331"/>
    </row>
    <row r="97" spans="1:25">
      <c r="A97" s="1285"/>
      <c r="B97" s="378" t="s">
        <v>26</v>
      </c>
      <c r="C97" s="358">
        <v>5000</v>
      </c>
      <c r="D97" s="39">
        <v>8699</v>
      </c>
      <c r="E97" s="194">
        <v>2015</v>
      </c>
      <c r="F97" s="194">
        <v>2007</v>
      </c>
      <c r="G97" s="194">
        <f>E97-F97</f>
        <v>8</v>
      </c>
      <c r="H97" s="194">
        <f>2015-F97</f>
        <v>8</v>
      </c>
      <c r="I97" s="194">
        <v>5000</v>
      </c>
      <c r="J97" s="140">
        <f>I97/P97</f>
        <v>45.955882352941174</v>
      </c>
      <c r="K97" s="140">
        <v>20</v>
      </c>
      <c r="L97" s="140">
        <f>K97-H97</f>
        <v>12</v>
      </c>
      <c r="M97" s="189">
        <v>0.15</v>
      </c>
      <c r="N97" s="66">
        <f>C97*M97</f>
        <v>750</v>
      </c>
      <c r="O97" s="66">
        <f>(C97+N97)/2</f>
        <v>2875</v>
      </c>
      <c r="P97" s="359">
        <f>(68/6.25)*$W$88</f>
        <v>108.80000000000001</v>
      </c>
      <c r="Q97" s="383">
        <v>0.46</v>
      </c>
      <c r="R97" s="323">
        <v>1.7</v>
      </c>
      <c r="S97" s="67">
        <f>D97*((Q97*(((P97*H97)/1000)^R97))/H97)</f>
        <v>395.05655798840377</v>
      </c>
      <c r="T97" s="39">
        <f>(2*T92)*P97</f>
        <v>500.48</v>
      </c>
      <c r="U97" s="206">
        <f>0.15*T97</f>
        <v>75.072000000000003</v>
      </c>
      <c r="V97" s="389"/>
      <c r="W97" s="350">
        <f>SUM(S97:U97)</f>
        <v>970.60855798840373</v>
      </c>
      <c r="X97" s="341">
        <f>W97/P97</f>
        <v>8.9210345403345919</v>
      </c>
      <c r="Y97" s="331"/>
    </row>
    <row r="98" spans="1:25">
      <c r="A98" s="1285"/>
      <c r="B98" s="378"/>
      <c r="C98" s="358"/>
      <c r="D98" s="39"/>
      <c r="E98" s="194"/>
      <c r="F98" s="194"/>
      <c r="G98" s="194"/>
      <c r="H98" s="194"/>
      <c r="I98" s="194"/>
      <c r="J98" s="140"/>
      <c r="K98" s="140"/>
      <c r="L98" s="140"/>
      <c r="M98" s="189"/>
      <c r="N98" s="66"/>
      <c r="O98" s="66"/>
      <c r="P98" s="359"/>
      <c r="Q98" s="383"/>
      <c r="R98" s="323"/>
      <c r="S98" s="154"/>
      <c r="T98" s="39"/>
      <c r="U98" s="206"/>
      <c r="V98" s="389"/>
      <c r="W98" s="350"/>
      <c r="X98" s="341"/>
      <c r="Y98" s="331"/>
    </row>
    <row r="99" spans="1:25">
      <c r="A99" s="1285"/>
      <c r="B99" s="377" t="s">
        <v>433</v>
      </c>
      <c r="C99" s="356"/>
      <c r="D99" s="316"/>
      <c r="E99" s="325"/>
      <c r="F99" s="325"/>
      <c r="G99" s="325"/>
      <c r="H99" s="325"/>
      <c r="I99" s="325"/>
      <c r="J99" s="326"/>
      <c r="K99" s="326"/>
      <c r="L99" s="317"/>
      <c r="M99" s="319"/>
      <c r="N99" s="321"/>
      <c r="O99" s="321"/>
      <c r="P99" s="360"/>
      <c r="Q99" s="384"/>
      <c r="R99" s="320"/>
      <c r="S99" s="327"/>
      <c r="T99" s="322"/>
      <c r="U99" s="349"/>
      <c r="V99" s="388"/>
      <c r="W99" s="348"/>
      <c r="X99" s="405"/>
      <c r="Y99" s="331"/>
    </row>
    <row r="100" spans="1:25">
      <c r="A100" s="1285"/>
      <c r="B100" s="379" t="s">
        <v>236</v>
      </c>
      <c r="C100" s="361"/>
      <c r="D100" s="146"/>
      <c r="E100" s="190"/>
      <c r="F100" s="190"/>
      <c r="G100" s="190"/>
      <c r="H100" s="190"/>
      <c r="I100" s="190"/>
      <c r="J100" s="233"/>
      <c r="K100" s="233"/>
      <c r="L100" s="233"/>
      <c r="M100" s="189"/>
      <c r="N100" s="66"/>
      <c r="O100" s="66"/>
      <c r="P100" s="359"/>
      <c r="Q100" s="383"/>
      <c r="R100" s="323"/>
      <c r="S100" s="154"/>
      <c r="T100" s="152"/>
      <c r="U100" s="1104"/>
      <c r="V100" s="389"/>
      <c r="W100" s="350"/>
      <c r="X100" s="341"/>
      <c r="Y100" s="331"/>
    </row>
    <row r="101" spans="1:25">
      <c r="A101" s="1285"/>
      <c r="B101" s="378" t="s">
        <v>27</v>
      </c>
      <c r="C101" s="358">
        <v>4975</v>
      </c>
      <c r="D101" s="39">
        <v>8699</v>
      </c>
      <c r="E101" s="194">
        <v>2005</v>
      </c>
      <c r="F101" s="194">
        <v>2005</v>
      </c>
      <c r="G101" s="194">
        <f t="shared" ref="G101:G108" si="5">E101-F101</f>
        <v>0</v>
      </c>
      <c r="H101" s="194">
        <f t="shared" ref="H101:H138" si="6">2015-F101</f>
        <v>10</v>
      </c>
      <c r="I101" s="194">
        <v>1200</v>
      </c>
      <c r="J101" s="140">
        <f t="shared" ref="J101:J108" si="7">I101/P101</f>
        <v>114.50381679389312</v>
      </c>
      <c r="K101" s="140">
        <v>40</v>
      </c>
      <c r="L101" s="140">
        <f t="shared" ref="L101:L108" si="8">K101-H101</f>
        <v>30</v>
      </c>
      <c r="M101" s="189">
        <v>0.1</v>
      </c>
      <c r="N101" s="66">
        <f t="shared" ref="N101:N108" si="9">C101*M101</f>
        <v>497.5</v>
      </c>
      <c r="O101" s="66">
        <f t="shared" ref="O101:O108" si="10">(C101+N101)/2</f>
        <v>2736.25</v>
      </c>
      <c r="P101" s="359">
        <f>(6.55/6.25)*$W$88</f>
        <v>10.48</v>
      </c>
      <c r="Q101" s="383">
        <v>0.36</v>
      </c>
      <c r="R101" s="323">
        <v>2</v>
      </c>
      <c r="S101" s="67">
        <f t="shared" ref="S101:S108" si="11">D101*((Q101*(((P101*H101)/1000)^R101))/H101)</f>
        <v>3.4394927385600012</v>
      </c>
      <c r="T101" s="191"/>
      <c r="U101" s="1105"/>
      <c r="V101" s="389"/>
      <c r="W101" s="350">
        <f t="shared" ref="W101:W108" si="12">SUM(S101:U101)</f>
        <v>3.4394927385600012</v>
      </c>
      <c r="X101" s="341">
        <f t="shared" ref="X101:X108" si="13">W101/P101</f>
        <v>0.32819587200000011</v>
      </c>
      <c r="Y101" s="331"/>
    </row>
    <row r="102" spans="1:25">
      <c r="A102" s="1285"/>
      <c r="B102" s="380" t="s">
        <v>622</v>
      </c>
      <c r="C102" s="358">
        <v>3000</v>
      </c>
      <c r="D102" s="39">
        <v>8500</v>
      </c>
      <c r="E102" s="190">
        <v>2007</v>
      </c>
      <c r="F102" s="190">
        <v>2000</v>
      </c>
      <c r="G102" s="190">
        <f t="shared" si="5"/>
        <v>7</v>
      </c>
      <c r="H102" s="194">
        <f t="shared" si="6"/>
        <v>15</v>
      </c>
      <c r="I102" s="190">
        <v>1200</v>
      </c>
      <c r="J102" s="140">
        <f t="shared" si="7"/>
        <v>61.881188118811885</v>
      </c>
      <c r="K102" s="233">
        <v>50</v>
      </c>
      <c r="L102" s="233">
        <f t="shared" si="8"/>
        <v>35</v>
      </c>
      <c r="M102" s="189">
        <v>0.15</v>
      </c>
      <c r="N102" s="66">
        <f t="shared" si="9"/>
        <v>450</v>
      </c>
      <c r="O102" s="66">
        <f t="shared" si="10"/>
        <v>1725</v>
      </c>
      <c r="P102" s="359">
        <f>(12.12/6.25)*$W$88</f>
        <v>19.391999999999999</v>
      </c>
      <c r="Q102" s="383">
        <v>0.54</v>
      </c>
      <c r="R102" s="323">
        <v>2.1</v>
      </c>
      <c r="S102" s="67">
        <f t="shared" si="11"/>
        <v>22.883399137225535</v>
      </c>
      <c r="T102" s="191"/>
      <c r="U102" s="1105"/>
      <c r="V102" s="389"/>
      <c r="W102" s="350">
        <f t="shared" si="12"/>
        <v>22.883399137225535</v>
      </c>
      <c r="X102" s="341">
        <f t="shared" si="13"/>
        <v>1.1800432723404257</v>
      </c>
      <c r="Y102" s="331"/>
    </row>
    <row r="103" spans="1:25">
      <c r="A103" s="1285"/>
      <c r="B103" s="380" t="s">
        <v>223</v>
      </c>
      <c r="C103" s="358">
        <v>5000</v>
      </c>
      <c r="D103" s="39">
        <v>10000</v>
      </c>
      <c r="E103" s="190">
        <v>2010</v>
      </c>
      <c r="F103" s="190">
        <v>2005</v>
      </c>
      <c r="G103" s="190">
        <f t="shared" si="5"/>
        <v>5</v>
      </c>
      <c r="H103" s="194">
        <f t="shared" si="6"/>
        <v>10</v>
      </c>
      <c r="I103" s="190">
        <v>1200</v>
      </c>
      <c r="J103" s="140">
        <f t="shared" si="7"/>
        <v>22.34137622877569</v>
      </c>
      <c r="K103" s="233">
        <v>30</v>
      </c>
      <c r="L103" s="233">
        <f t="shared" si="8"/>
        <v>20</v>
      </c>
      <c r="M103" s="189">
        <v>0.1</v>
      </c>
      <c r="N103" s="66">
        <f t="shared" si="9"/>
        <v>500</v>
      </c>
      <c r="O103" s="66">
        <f t="shared" si="10"/>
        <v>2750</v>
      </c>
      <c r="P103" s="359">
        <f>((33.57)/6.25)*$W$88</f>
        <v>53.712000000000003</v>
      </c>
      <c r="Q103" s="383">
        <v>0.46</v>
      </c>
      <c r="R103" s="323">
        <v>1.7</v>
      </c>
      <c r="S103" s="67">
        <f t="shared" si="11"/>
        <v>159.91127364602016</v>
      </c>
      <c r="T103" s="191"/>
      <c r="U103" s="1105"/>
      <c r="V103" s="389"/>
      <c r="W103" s="350">
        <f t="shared" si="12"/>
        <v>159.91127364602016</v>
      </c>
      <c r="X103" s="341">
        <f t="shared" si="13"/>
        <v>2.9771982731236997</v>
      </c>
      <c r="Y103" s="331"/>
    </row>
    <row r="104" spans="1:25">
      <c r="A104" s="1285"/>
      <c r="B104" s="380" t="s">
        <v>29</v>
      </c>
      <c r="C104" s="358">
        <v>1800</v>
      </c>
      <c r="D104" s="39">
        <v>4000</v>
      </c>
      <c r="E104" s="190">
        <v>2000</v>
      </c>
      <c r="F104" s="190">
        <v>2000</v>
      </c>
      <c r="G104" s="190">
        <f t="shared" si="5"/>
        <v>0</v>
      </c>
      <c r="H104" s="194">
        <f t="shared" si="6"/>
        <v>15</v>
      </c>
      <c r="I104" s="190">
        <v>2000</v>
      </c>
      <c r="J104" s="140">
        <f t="shared" si="7"/>
        <v>52.01831044527674</v>
      </c>
      <c r="K104" s="233">
        <v>50</v>
      </c>
      <c r="L104" s="233">
        <f t="shared" si="8"/>
        <v>35</v>
      </c>
      <c r="M104" s="189">
        <v>0.15</v>
      </c>
      <c r="N104" s="66">
        <f t="shared" si="9"/>
        <v>270</v>
      </c>
      <c r="O104" s="66">
        <f t="shared" si="10"/>
        <v>1035</v>
      </c>
      <c r="P104" s="359">
        <f>(24.03/6.25)*$W$88</f>
        <v>38.448</v>
      </c>
      <c r="Q104" s="383">
        <v>0.18</v>
      </c>
      <c r="R104" s="323">
        <v>1.7</v>
      </c>
      <c r="S104" s="67">
        <f t="shared" si="11"/>
        <v>18.831363155542288</v>
      </c>
      <c r="T104" s="191"/>
      <c r="U104" s="1105"/>
      <c r="V104" s="389"/>
      <c r="W104" s="350">
        <f t="shared" si="12"/>
        <v>18.831363155542288</v>
      </c>
      <c r="X104" s="341">
        <f t="shared" si="13"/>
        <v>0.48978784736637243</v>
      </c>
      <c r="Y104" s="331"/>
    </row>
    <row r="105" spans="1:25">
      <c r="A105" s="1285"/>
      <c r="B105" s="380" t="s">
        <v>241</v>
      </c>
      <c r="C105" s="358">
        <f>6290+3445</f>
        <v>9735</v>
      </c>
      <c r="D105" s="39">
        <v>10000</v>
      </c>
      <c r="E105" s="190">
        <v>2013</v>
      </c>
      <c r="F105" s="190">
        <v>2013</v>
      </c>
      <c r="G105" s="190">
        <f t="shared" si="5"/>
        <v>0</v>
      </c>
      <c r="H105" s="194">
        <f t="shared" si="6"/>
        <v>2</v>
      </c>
      <c r="I105" s="190">
        <v>1200</v>
      </c>
      <c r="J105" s="140">
        <f t="shared" si="7"/>
        <v>54.347826086956516</v>
      </c>
      <c r="K105" s="233">
        <v>30</v>
      </c>
      <c r="L105" s="233">
        <f t="shared" si="8"/>
        <v>28</v>
      </c>
      <c r="M105" s="189">
        <v>0.1</v>
      </c>
      <c r="N105" s="66">
        <f t="shared" si="9"/>
        <v>973.5</v>
      </c>
      <c r="O105" s="66">
        <f t="shared" si="10"/>
        <v>5354.25</v>
      </c>
      <c r="P105" s="359">
        <f>(13.8/6.25)*$W$88</f>
        <v>22.080000000000002</v>
      </c>
      <c r="Q105" s="383">
        <v>0.36</v>
      </c>
      <c r="R105" s="323">
        <v>2</v>
      </c>
      <c r="S105" s="67">
        <f t="shared" si="11"/>
        <v>3.5101900800000005</v>
      </c>
      <c r="T105" s="192"/>
      <c r="U105" s="1106"/>
      <c r="V105" s="389"/>
      <c r="W105" s="350">
        <f t="shared" si="12"/>
        <v>3.5101900800000005</v>
      </c>
      <c r="X105" s="341">
        <f t="shared" si="13"/>
        <v>0.15897600000000001</v>
      </c>
      <c r="Y105" s="80"/>
    </row>
    <row r="106" spans="1:25">
      <c r="A106" s="1285"/>
      <c r="B106" s="380" t="s">
        <v>242</v>
      </c>
      <c r="C106" s="358">
        <v>19139</v>
      </c>
      <c r="D106" s="39">
        <v>25000</v>
      </c>
      <c r="E106" s="190">
        <v>2008</v>
      </c>
      <c r="F106" s="190">
        <v>2008</v>
      </c>
      <c r="G106" s="190">
        <f t="shared" si="5"/>
        <v>0</v>
      </c>
      <c r="H106" s="194">
        <f t="shared" si="6"/>
        <v>7</v>
      </c>
      <c r="I106" s="190">
        <v>1200</v>
      </c>
      <c r="J106" s="140">
        <f t="shared" si="7"/>
        <v>22.706630336058126</v>
      </c>
      <c r="K106" s="233">
        <v>30</v>
      </c>
      <c r="L106" s="233">
        <f t="shared" si="8"/>
        <v>23</v>
      </c>
      <c r="M106" s="189">
        <v>0.1</v>
      </c>
      <c r="N106" s="66">
        <f t="shared" si="9"/>
        <v>1913.9</v>
      </c>
      <c r="O106" s="66">
        <f t="shared" si="10"/>
        <v>10526.45</v>
      </c>
      <c r="P106" s="359">
        <f>(33.03/6.25)*$W$88</f>
        <v>52.848000000000006</v>
      </c>
      <c r="Q106" s="383">
        <v>0.36</v>
      </c>
      <c r="R106" s="323">
        <v>2</v>
      </c>
      <c r="S106" s="67">
        <f t="shared" si="11"/>
        <v>175.95339955200004</v>
      </c>
      <c r="T106" s="192"/>
      <c r="U106" s="1106"/>
      <c r="V106" s="389"/>
      <c r="W106" s="350">
        <f t="shared" si="12"/>
        <v>175.95339955200004</v>
      </c>
      <c r="X106" s="341">
        <f t="shared" si="13"/>
        <v>3.3294240000000004</v>
      </c>
      <c r="Y106" s="80"/>
    </row>
    <row r="107" spans="1:25">
      <c r="A107" s="1285"/>
      <c r="B107" s="380" t="s">
        <v>224</v>
      </c>
      <c r="C107" s="358">
        <v>1915</v>
      </c>
      <c r="D107" s="39">
        <v>1915</v>
      </c>
      <c r="E107" s="190">
        <v>2015</v>
      </c>
      <c r="F107" s="190">
        <v>2015</v>
      </c>
      <c r="G107" s="190">
        <f t="shared" si="5"/>
        <v>0</v>
      </c>
      <c r="H107" s="194">
        <v>0.5</v>
      </c>
      <c r="I107" s="190">
        <v>2000</v>
      </c>
      <c r="J107" s="140">
        <f t="shared" si="7"/>
        <v>250</v>
      </c>
      <c r="K107" s="233">
        <v>50</v>
      </c>
      <c r="L107" s="233">
        <f t="shared" si="8"/>
        <v>49.5</v>
      </c>
      <c r="M107" s="189">
        <v>0.15</v>
      </c>
      <c r="N107" s="66">
        <f t="shared" si="9"/>
        <v>287.25</v>
      </c>
      <c r="O107" s="66">
        <f t="shared" si="10"/>
        <v>1101.125</v>
      </c>
      <c r="P107" s="359">
        <f>5/6.25*$W$88</f>
        <v>8</v>
      </c>
      <c r="Q107" s="383">
        <v>0.38</v>
      </c>
      <c r="R107" s="323">
        <v>1.4</v>
      </c>
      <c r="S107" s="67">
        <f t="shared" si="11"/>
        <v>0.63953800589109033</v>
      </c>
      <c r="T107" s="192"/>
      <c r="U107" s="1106"/>
      <c r="V107" s="389"/>
      <c r="W107" s="350">
        <f t="shared" si="12"/>
        <v>0.63953800589109033</v>
      </c>
      <c r="X107" s="341">
        <f t="shared" si="13"/>
        <v>7.9942250736386292E-2</v>
      </c>
      <c r="Y107" s="80"/>
    </row>
    <row r="108" spans="1:25">
      <c r="A108" s="1285"/>
      <c r="B108" s="380" t="s">
        <v>243</v>
      </c>
      <c r="C108" s="358">
        <v>1000</v>
      </c>
      <c r="D108" s="39">
        <v>1200</v>
      </c>
      <c r="E108" s="190">
        <v>2000</v>
      </c>
      <c r="F108" s="190">
        <v>2000</v>
      </c>
      <c r="G108" s="190">
        <f t="shared" si="5"/>
        <v>0</v>
      </c>
      <c r="H108" s="194">
        <f t="shared" si="6"/>
        <v>15</v>
      </c>
      <c r="I108" s="190">
        <v>2000</v>
      </c>
      <c r="J108" s="140">
        <f t="shared" si="7"/>
        <v>128.6008230452675</v>
      </c>
      <c r="K108" s="233">
        <v>50</v>
      </c>
      <c r="L108" s="233">
        <f t="shared" si="8"/>
        <v>35</v>
      </c>
      <c r="M108" s="189">
        <v>0.15</v>
      </c>
      <c r="N108" s="66">
        <f t="shared" si="9"/>
        <v>150</v>
      </c>
      <c r="O108" s="66">
        <f t="shared" si="10"/>
        <v>575</v>
      </c>
      <c r="P108" s="359">
        <f>(7.72+2)/6.25*$W$88</f>
        <v>15.552</v>
      </c>
      <c r="Q108" s="383">
        <v>0.3</v>
      </c>
      <c r="R108" s="323">
        <v>1.4</v>
      </c>
      <c r="S108" s="67">
        <f t="shared" si="11"/>
        <v>3.1278055865729053</v>
      </c>
      <c r="T108" s="192"/>
      <c r="U108" s="1106"/>
      <c r="V108" s="389"/>
      <c r="W108" s="350">
        <f t="shared" si="12"/>
        <v>3.1278055865729053</v>
      </c>
      <c r="X108" s="341">
        <f t="shared" si="13"/>
        <v>0.20111918637943063</v>
      </c>
      <c r="Y108" s="80"/>
    </row>
    <row r="109" spans="1:25">
      <c r="A109" s="1285"/>
      <c r="B109" s="380"/>
      <c r="C109" s="358"/>
      <c r="D109" s="39"/>
      <c r="E109" s="190"/>
      <c r="F109" s="190"/>
      <c r="G109" s="190"/>
      <c r="H109" s="194"/>
      <c r="I109" s="328"/>
      <c r="J109" s="233"/>
      <c r="K109" s="233"/>
      <c r="L109" s="233"/>
      <c r="M109" s="233"/>
      <c r="N109" s="65"/>
      <c r="O109" s="323"/>
      <c r="P109" s="362"/>
      <c r="Q109" s="383"/>
      <c r="R109" s="323"/>
      <c r="S109" s="64"/>
      <c r="T109" s="64"/>
      <c r="U109" s="1107"/>
      <c r="V109" s="389"/>
      <c r="W109" s="413"/>
      <c r="X109" s="406"/>
      <c r="Y109" s="80"/>
    </row>
    <row r="110" spans="1:25">
      <c r="A110" s="30"/>
      <c r="B110" s="379" t="s">
        <v>238</v>
      </c>
      <c r="C110" s="363"/>
      <c r="D110" s="35"/>
      <c r="E110" s="190"/>
      <c r="F110" s="190"/>
      <c r="G110" s="190"/>
      <c r="H110" s="194"/>
      <c r="I110" s="194"/>
      <c r="J110" s="233"/>
      <c r="K110" s="233"/>
      <c r="L110" s="64"/>
      <c r="M110" s="189"/>
      <c r="N110" s="66"/>
      <c r="O110" s="66"/>
      <c r="P110" s="359"/>
      <c r="Q110" s="385"/>
      <c r="R110" s="323"/>
      <c r="S110" s="67"/>
      <c r="T110" s="35"/>
      <c r="U110" s="206"/>
      <c r="V110" s="389"/>
      <c r="W110" s="350"/>
      <c r="X110" s="341"/>
      <c r="Y110" s="80"/>
    </row>
    <row r="111" spans="1:25">
      <c r="A111" s="30"/>
      <c r="B111" s="380" t="s">
        <v>32</v>
      </c>
      <c r="C111" s="363">
        <v>6545</v>
      </c>
      <c r="D111" s="35">
        <v>6600</v>
      </c>
      <c r="E111" s="190">
        <v>2008</v>
      </c>
      <c r="F111" s="190">
        <v>2008</v>
      </c>
      <c r="G111" s="190">
        <f>E111-F111</f>
        <v>0</v>
      </c>
      <c r="H111" s="194">
        <f>2015-F111</f>
        <v>7</v>
      </c>
      <c r="I111" s="194">
        <v>2000</v>
      </c>
      <c r="J111" s="233">
        <f>I111/P111</f>
        <v>95.93246354566385</v>
      </c>
      <c r="K111" s="233">
        <v>50</v>
      </c>
      <c r="L111" s="233">
        <f>K111-H111</f>
        <v>43</v>
      </c>
      <c r="M111" s="189">
        <v>0.2</v>
      </c>
      <c r="N111" s="66">
        <f>C111*M111</f>
        <v>1309</v>
      </c>
      <c r="O111" s="66">
        <f>(C111+N111)/2</f>
        <v>3927</v>
      </c>
      <c r="P111" s="359">
        <f>(13.03/6.25)*$W$88</f>
        <v>20.847999999999999</v>
      </c>
      <c r="Q111" s="385">
        <v>0.3</v>
      </c>
      <c r="R111" s="323">
        <v>1.4</v>
      </c>
      <c r="S111" s="67">
        <f>D111*((Q111*(((P111*H111)/1000)^R111))/H111)</f>
        <v>19.115891814361014</v>
      </c>
      <c r="T111" s="193"/>
      <c r="U111" s="1108"/>
      <c r="V111" s="389"/>
      <c r="W111" s="350">
        <f>SUM(S111:U111)</f>
        <v>19.115891814361014</v>
      </c>
      <c r="X111" s="341">
        <f>W111/P111</f>
        <v>0.91691729731202098</v>
      </c>
      <c r="Y111" s="80"/>
    </row>
    <row r="112" spans="1:25" ht="15" customHeight="1">
      <c r="A112" s="30"/>
      <c r="B112" s="1284" t="s">
        <v>923</v>
      </c>
      <c r="C112" s="351">
        <f>2250+1170</f>
        <v>3420</v>
      </c>
      <c r="D112" s="147">
        <v>3500</v>
      </c>
      <c r="E112" s="190">
        <v>2005</v>
      </c>
      <c r="F112" s="190">
        <v>2005</v>
      </c>
      <c r="G112" s="190">
        <f>E112-F112</f>
        <v>0</v>
      </c>
      <c r="H112" s="194">
        <f>2015-F112</f>
        <v>10</v>
      </c>
      <c r="I112" s="330">
        <v>2000</v>
      </c>
      <c r="J112" s="233">
        <f>I112/P112</f>
        <v>47.61904761904762</v>
      </c>
      <c r="K112" s="233">
        <v>50</v>
      </c>
      <c r="L112" s="233">
        <f>K112-H112</f>
        <v>40</v>
      </c>
      <c r="M112" s="189">
        <v>0.15</v>
      </c>
      <c r="N112" s="147">
        <f>C112*M112</f>
        <v>513</v>
      </c>
      <c r="O112" s="66">
        <f>(C112+N112)/2</f>
        <v>1966.5</v>
      </c>
      <c r="P112" s="364">
        <f>(26.25/6.25)*$W$88</f>
        <v>42</v>
      </c>
      <c r="Q112" s="385">
        <v>0.3</v>
      </c>
      <c r="R112" s="323">
        <v>1.4</v>
      </c>
      <c r="S112" s="67">
        <f>D112*((Q112*(((P112*H112)/1000)^R112))/H112)</f>
        <v>31.170107897998964</v>
      </c>
      <c r="T112" s="193"/>
      <c r="U112" s="1109"/>
      <c r="V112" s="391"/>
      <c r="W112" s="350">
        <f>SUM(S112:U112)</f>
        <v>31.170107897998964</v>
      </c>
      <c r="X112" s="408">
        <f>W112/P112</f>
        <v>0.74214542614283252</v>
      </c>
      <c r="Y112" s="80"/>
    </row>
    <row r="113" spans="1:25" ht="15" customHeight="1">
      <c r="A113" s="30"/>
      <c r="B113" s="1281"/>
      <c r="C113" s="351"/>
      <c r="D113" s="147"/>
      <c r="E113" s="190"/>
      <c r="F113" s="190"/>
      <c r="G113" s="190"/>
      <c r="H113" s="194"/>
      <c r="I113" s="330"/>
      <c r="J113" s="233"/>
      <c r="K113" s="233"/>
      <c r="L113" s="64"/>
      <c r="M113" s="189"/>
      <c r="N113" s="147"/>
      <c r="O113" s="66"/>
      <c r="P113" s="364"/>
      <c r="Q113" s="385"/>
      <c r="R113" s="323"/>
      <c r="S113" s="67"/>
      <c r="T113" s="39"/>
      <c r="U113" s="1110"/>
      <c r="V113" s="391"/>
      <c r="W113" s="351"/>
      <c r="X113" s="408"/>
      <c r="Y113" s="80"/>
    </row>
    <row r="114" spans="1:25">
      <c r="A114" s="30"/>
      <c r="B114" s="380" t="s">
        <v>229</v>
      </c>
      <c r="C114" s="363">
        <f>4100+400</f>
        <v>4500</v>
      </c>
      <c r="D114" s="35">
        <v>4500</v>
      </c>
      <c r="E114" s="190">
        <v>1974</v>
      </c>
      <c r="F114" s="190">
        <v>1960</v>
      </c>
      <c r="G114" s="190">
        <f>E114-F114</f>
        <v>14</v>
      </c>
      <c r="H114" s="194">
        <f>2015-F114</f>
        <v>55</v>
      </c>
      <c r="I114" s="194">
        <v>5000</v>
      </c>
      <c r="J114" s="233">
        <f>I114/P114</f>
        <v>254.06504065040647</v>
      </c>
      <c r="K114" s="233">
        <v>60</v>
      </c>
      <c r="L114" s="233">
        <f>K114-H114</f>
        <v>5</v>
      </c>
      <c r="M114" s="189">
        <v>0.15</v>
      </c>
      <c r="N114" s="66">
        <f>C114*M114</f>
        <v>675</v>
      </c>
      <c r="O114" s="66">
        <f>(C114+N114)/2</f>
        <v>2587.5</v>
      </c>
      <c r="P114" s="359">
        <f>(12.3/6.25)*$W$88</f>
        <v>19.680000000000003</v>
      </c>
      <c r="Q114" s="385">
        <v>0.3</v>
      </c>
      <c r="R114" s="323">
        <v>1.4</v>
      </c>
      <c r="S114" s="67">
        <f>D114*((Q114*(((P114*H114)/1000)^R114))/H114)</f>
        <v>27.422937636999652</v>
      </c>
      <c r="T114" s="35">
        <f>(0.06*17)*(P114*T91)</f>
        <v>54.198720000000009</v>
      </c>
      <c r="U114" s="206">
        <f>0.15*T114</f>
        <v>8.1298080000000006</v>
      </c>
      <c r="V114" s="389"/>
      <c r="W114" s="350">
        <f>SUM(T114:U114)</f>
        <v>62.328528000000006</v>
      </c>
      <c r="X114" s="341">
        <f>W114/P114</f>
        <v>3.1670999999999996</v>
      </c>
      <c r="Y114" s="80"/>
    </row>
    <row r="115" spans="1:25">
      <c r="A115" s="30"/>
      <c r="B115" s="380" t="s">
        <v>31</v>
      </c>
      <c r="C115" s="363">
        <v>1950</v>
      </c>
      <c r="D115" s="35">
        <v>2000</v>
      </c>
      <c r="E115" s="190">
        <v>2005</v>
      </c>
      <c r="F115" s="190">
        <v>2005</v>
      </c>
      <c r="G115" s="190">
        <f>E115-F115</f>
        <v>0</v>
      </c>
      <c r="H115" s="194">
        <f>2015-F115</f>
        <v>10</v>
      </c>
      <c r="I115" s="194">
        <v>2000</v>
      </c>
      <c r="J115" s="233">
        <f>I115/P115</f>
        <v>274.72527472527474</v>
      </c>
      <c r="K115" s="233">
        <v>50</v>
      </c>
      <c r="L115" s="233">
        <f>K115-H115</f>
        <v>40</v>
      </c>
      <c r="M115" s="189">
        <v>0.15</v>
      </c>
      <c r="N115" s="66">
        <f>C115*M115</f>
        <v>292.5</v>
      </c>
      <c r="O115" s="66">
        <f>(C115+N115)/2</f>
        <v>1121.25</v>
      </c>
      <c r="P115" s="359">
        <f>(4.55/6.25)*$W$88</f>
        <v>7.2799999999999994</v>
      </c>
      <c r="Q115" s="385">
        <v>0.3</v>
      </c>
      <c r="R115" s="323">
        <v>1.4</v>
      </c>
      <c r="S115" s="67">
        <f>D115*((Q115*(((P115*H115)/1000)^R115))/H115)</f>
        <v>1.5315641124437489</v>
      </c>
      <c r="T115" s="193"/>
      <c r="U115" s="1108"/>
      <c r="V115" s="389"/>
      <c r="W115" s="350">
        <f>SUM(S115:U115)</f>
        <v>1.5315641124437489</v>
      </c>
      <c r="X115" s="341">
        <f>W115/P115</f>
        <v>0.21037968577524024</v>
      </c>
      <c r="Y115" s="80"/>
    </row>
    <row r="116" spans="1:25">
      <c r="A116" s="30"/>
      <c r="B116" s="380" t="s">
        <v>56</v>
      </c>
      <c r="C116" s="363">
        <f>4793+2065</f>
        <v>6858</v>
      </c>
      <c r="D116" s="35">
        <v>6900</v>
      </c>
      <c r="E116" s="190">
        <v>2011</v>
      </c>
      <c r="F116" s="190">
        <v>2011</v>
      </c>
      <c r="G116" s="190">
        <f>E116-F116</f>
        <v>0</v>
      </c>
      <c r="H116" s="194">
        <f>2015-F116</f>
        <v>4</v>
      </c>
      <c r="I116" s="194">
        <v>1200</v>
      </c>
      <c r="J116" s="233">
        <f>I116/P116</f>
        <v>64.766839378238345</v>
      </c>
      <c r="K116" s="233">
        <v>20</v>
      </c>
      <c r="L116" s="233">
        <f>K116-H116</f>
        <v>16</v>
      </c>
      <c r="M116" s="189">
        <v>0.25</v>
      </c>
      <c r="N116" s="66">
        <f>C116*M116</f>
        <v>1714.5</v>
      </c>
      <c r="O116" s="66">
        <f>(C116+N116)/2</f>
        <v>4286.25</v>
      </c>
      <c r="P116" s="359">
        <f>(11.58/6.25)*$W$88</f>
        <v>18.527999999999999</v>
      </c>
      <c r="Q116" s="385">
        <v>1.2E-2</v>
      </c>
      <c r="R116" s="323">
        <v>2</v>
      </c>
      <c r="S116" s="67">
        <f>D116*((Q116*(((P116*H116)/1000)^R116))/H116)</f>
        <v>0.11369658286079998</v>
      </c>
      <c r="T116" s="39">
        <f>(2*T91)*P116</f>
        <v>100.05119999999999</v>
      </c>
      <c r="U116" s="1104">
        <f>0.15*T116</f>
        <v>15.007679999999999</v>
      </c>
      <c r="V116" s="389"/>
      <c r="W116" s="350">
        <f>SUM(T116:U116)</f>
        <v>115.05887999999999</v>
      </c>
      <c r="X116" s="341">
        <f>W116/P116</f>
        <v>6.21</v>
      </c>
      <c r="Y116" s="80"/>
    </row>
    <row r="117" spans="1:25">
      <c r="A117" s="30"/>
      <c r="B117" s="380"/>
      <c r="C117" s="363"/>
      <c r="D117" s="35"/>
      <c r="E117" s="190"/>
      <c r="F117" s="190"/>
      <c r="G117" s="190"/>
      <c r="H117" s="194"/>
      <c r="I117" s="194"/>
      <c r="J117" s="233"/>
      <c r="K117" s="233"/>
      <c r="L117" s="233"/>
      <c r="M117" s="189"/>
      <c r="N117" s="66"/>
      <c r="O117" s="66"/>
      <c r="P117" s="359"/>
      <c r="Q117" s="385"/>
      <c r="R117" s="323"/>
      <c r="S117" s="67"/>
      <c r="T117" s="39"/>
      <c r="U117" s="1104"/>
      <c r="V117" s="389"/>
      <c r="W117" s="350"/>
      <c r="X117" s="341"/>
      <c r="Y117" s="80"/>
    </row>
    <row r="118" spans="1:25">
      <c r="A118" s="30"/>
      <c r="B118" s="379" t="s">
        <v>237</v>
      </c>
      <c r="C118" s="358"/>
      <c r="D118" s="190"/>
      <c r="E118" s="190"/>
      <c r="F118" s="190"/>
      <c r="G118" s="190"/>
      <c r="H118" s="194"/>
      <c r="I118" s="233"/>
      <c r="J118" s="233"/>
      <c r="K118" s="189"/>
      <c r="L118" s="66"/>
      <c r="M118" s="66"/>
      <c r="N118" s="65"/>
      <c r="O118" s="66"/>
      <c r="P118" s="206"/>
      <c r="Q118" s="385"/>
      <c r="R118" s="329"/>
      <c r="S118" s="66"/>
      <c r="T118" s="66"/>
      <c r="U118" s="206"/>
      <c r="V118" s="390"/>
      <c r="W118" s="352"/>
      <c r="X118" s="407"/>
      <c r="Y118" s="80"/>
    </row>
    <row r="119" spans="1:25">
      <c r="A119" s="30"/>
      <c r="B119" s="378" t="s">
        <v>209</v>
      </c>
      <c r="C119" s="358">
        <v>800</v>
      </c>
      <c r="D119" s="39">
        <v>1000</v>
      </c>
      <c r="E119" s="190">
        <v>2009</v>
      </c>
      <c r="F119" s="190">
        <v>2009</v>
      </c>
      <c r="G119" s="190">
        <f t="shared" ref="G119:G138" si="14">E119-F119</f>
        <v>0</v>
      </c>
      <c r="H119" s="194">
        <f t="shared" si="6"/>
        <v>6</v>
      </c>
      <c r="I119" s="190">
        <v>2000</v>
      </c>
      <c r="J119" s="233">
        <f t="shared" ref="J119:J125" si="15">I119/P119</f>
        <v>111.70688114387846</v>
      </c>
      <c r="K119" s="233">
        <v>50</v>
      </c>
      <c r="L119" s="233">
        <f t="shared" ref="L119:L125" si="16">K119-H119</f>
        <v>44</v>
      </c>
      <c r="M119" s="189">
        <v>0.1</v>
      </c>
      <c r="N119" s="66">
        <f t="shared" ref="N119:N125" si="17">C119*M119</f>
        <v>80</v>
      </c>
      <c r="O119" s="66">
        <f t="shared" ref="O119:O125" si="18">(C119+N119)/2</f>
        <v>440</v>
      </c>
      <c r="P119" s="359">
        <f>(11.19/6.25)*$W$88</f>
        <v>17.904</v>
      </c>
      <c r="Q119" s="385">
        <v>0.3</v>
      </c>
      <c r="R119" s="323">
        <v>1.4</v>
      </c>
      <c r="S119" s="67">
        <f t="shared" ref="S119:S125" si="19">D119*((Q119*(((P119*H119)/1000)^R119))/H119)</f>
        <v>2.2004517583089642</v>
      </c>
      <c r="T119" s="192"/>
      <c r="U119" s="1106"/>
      <c r="V119" s="389"/>
      <c r="W119" s="350">
        <f t="shared" ref="W119:W125" si="20">SUM(S119:U119)</f>
        <v>2.2004517583089642</v>
      </c>
      <c r="X119" s="341">
        <f t="shared" ref="X119:X125" si="21">W119/P119</f>
        <v>0.12290280151412893</v>
      </c>
      <c r="Y119" s="80"/>
    </row>
    <row r="120" spans="1:25">
      <c r="A120" s="30"/>
      <c r="B120" s="380" t="s">
        <v>610</v>
      </c>
      <c r="C120" s="358">
        <v>3200</v>
      </c>
      <c r="D120" s="39">
        <v>3200</v>
      </c>
      <c r="E120" s="190">
        <v>2013</v>
      </c>
      <c r="F120" s="190">
        <v>2013</v>
      </c>
      <c r="G120" s="190">
        <f t="shared" si="14"/>
        <v>0</v>
      </c>
      <c r="H120" s="194">
        <f t="shared" si="6"/>
        <v>2</v>
      </c>
      <c r="I120" s="190">
        <v>2000</v>
      </c>
      <c r="J120" s="233">
        <f t="shared" si="15"/>
        <v>89.605734767025098</v>
      </c>
      <c r="K120" s="233">
        <v>50</v>
      </c>
      <c r="L120" s="233">
        <f t="shared" si="16"/>
        <v>48</v>
      </c>
      <c r="M120" s="189">
        <v>0.1</v>
      </c>
      <c r="N120" s="66">
        <f t="shared" si="17"/>
        <v>320</v>
      </c>
      <c r="O120" s="66">
        <f t="shared" si="18"/>
        <v>1760</v>
      </c>
      <c r="P120" s="359">
        <f>(13.95/6.25)*$W$88</f>
        <v>22.319999999999997</v>
      </c>
      <c r="Q120" s="385">
        <v>0.3</v>
      </c>
      <c r="R120" s="323">
        <v>1.4</v>
      </c>
      <c r="S120" s="67">
        <f t="shared" si="19"/>
        <v>6.1781023340601777</v>
      </c>
      <c r="T120" s="192"/>
      <c r="U120" s="1106"/>
      <c r="V120" s="389"/>
      <c r="W120" s="350">
        <f t="shared" si="20"/>
        <v>6.1781023340601777</v>
      </c>
      <c r="X120" s="341">
        <f t="shared" si="21"/>
        <v>0.27679669955466751</v>
      </c>
      <c r="Y120" s="80"/>
    </row>
    <row r="121" spans="1:25">
      <c r="A121" s="30"/>
      <c r="B121" s="380" t="s">
        <v>211</v>
      </c>
      <c r="C121" s="358">
        <f>5794</f>
        <v>5794</v>
      </c>
      <c r="D121" s="39">
        <v>5800</v>
      </c>
      <c r="E121" s="190">
        <v>2013</v>
      </c>
      <c r="F121" s="190">
        <v>2013</v>
      </c>
      <c r="G121" s="190">
        <f t="shared" si="14"/>
        <v>0</v>
      </c>
      <c r="H121" s="194">
        <f t="shared" si="6"/>
        <v>2</v>
      </c>
      <c r="I121" s="190">
        <v>2000</v>
      </c>
      <c r="J121" s="233">
        <f t="shared" si="15"/>
        <v>66.137566137566154</v>
      </c>
      <c r="K121" s="233">
        <v>50</v>
      </c>
      <c r="L121" s="233">
        <f t="shared" si="16"/>
        <v>48</v>
      </c>
      <c r="M121" s="189">
        <v>0.1</v>
      </c>
      <c r="N121" s="66">
        <f t="shared" si="17"/>
        <v>579.4</v>
      </c>
      <c r="O121" s="66">
        <f t="shared" si="18"/>
        <v>3186.7</v>
      </c>
      <c r="P121" s="359">
        <f>(18.9/6.25)*$W$88</f>
        <v>30.239999999999995</v>
      </c>
      <c r="Q121" s="385">
        <v>0.3</v>
      </c>
      <c r="R121" s="323">
        <v>1.4</v>
      </c>
      <c r="S121" s="67">
        <f t="shared" si="19"/>
        <v>17.130725185761886</v>
      </c>
      <c r="T121" s="192"/>
      <c r="U121" s="1106"/>
      <c r="V121" s="389"/>
      <c r="W121" s="350">
        <f t="shared" si="20"/>
        <v>17.130725185761886</v>
      </c>
      <c r="X121" s="341">
        <f t="shared" si="21"/>
        <v>0.56649223497889845</v>
      </c>
      <c r="Y121" s="80"/>
    </row>
    <row r="122" spans="1:25">
      <c r="A122" s="30"/>
      <c r="B122" s="380" t="s">
        <v>212</v>
      </c>
      <c r="C122" s="363">
        <v>11740</v>
      </c>
      <c r="D122" s="35">
        <v>12000</v>
      </c>
      <c r="E122" s="190">
        <v>2009</v>
      </c>
      <c r="F122" s="190">
        <v>2009</v>
      </c>
      <c r="G122" s="190">
        <f t="shared" si="14"/>
        <v>0</v>
      </c>
      <c r="H122" s="194">
        <f t="shared" si="6"/>
        <v>6</v>
      </c>
      <c r="I122" s="190">
        <v>1500</v>
      </c>
      <c r="J122" s="233">
        <f t="shared" si="15"/>
        <v>37.635487755921325</v>
      </c>
      <c r="K122" s="233">
        <v>40</v>
      </c>
      <c r="L122" s="233">
        <f t="shared" si="16"/>
        <v>34</v>
      </c>
      <c r="M122" s="189">
        <v>0.25</v>
      </c>
      <c r="N122" s="66">
        <f t="shared" si="17"/>
        <v>2935</v>
      </c>
      <c r="O122" s="66">
        <f t="shared" si="18"/>
        <v>7337.5</v>
      </c>
      <c r="P122" s="359">
        <f>(24.91/6.25)*$W$88</f>
        <v>39.855999999999995</v>
      </c>
      <c r="Q122" s="385">
        <v>0.54</v>
      </c>
      <c r="R122" s="323">
        <v>2.1</v>
      </c>
      <c r="S122" s="67">
        <f t="shared" si="19"/>
        <v>53.527649448727914</v>
      </c>
      <c r="T122" s="192"/>
      <c r="U122" s="1106"/>
      <c r="V122" s="389"/>
      <c r="W122" s="350">
        <f t="shared" si="20"/>
        <v>53.527649448727914</v>
      </c>
      <c r="X122" s="341">
        <f t="shared" si="21"/>
        <v>1.3430261302872322</v>
      </c>
      <c r="Y122" s="80"/>
    </row>
    <row r="123" spans="1:25">
      <c r="A123" s="30"/>
      <c r="B123" s="380" t="s">
        <v>213</v>
      </c>
      <c r="C123" s="363">
        <f>15828+500</f>
        <v>16328</v>
      </c>
      <c r="D123" s="35">
        <v>16400</v>
      </c>
      <c r="E123" s="190">
        <v>2008</v>
      </c>
      <c r="F123" s="190">
        <v>2008</v>
      </c>
      <c r="G123" s="190">
        <f t="shared" si="14"/>
        <v>0</v>
      </c>
      <c r="H123" s="194">
        <f t="shared" si="6"/>
        <v>7</v>
      </c>
      <c r="I123" s="190">
        <v>1500</v>
      </c>
      <c r="J123" s="233">
        <f t="shared" si="15"/>
        <v>41.208791208791212</v>
      </c>
      <c r="K123" s="233">
        <v>40</v>
      </c>
      <c r="L123" s="233">
        <f t="shared" si="16"/>
        <v>33</v>
      </c>
      <c r="M123" s="189">
        <v>0.15</v>
      </c>
      <c r="N123" s="66">
        <f t="shared" si="17"/>
        <v>2449.1999999999998</v>
      </c>
      <c r="O123" s="66">
        <f t="shared" si="18"/>
        <v>9388.6</v>
      </c>
      <c r="P123" s="359">
        <f>(22.75/6.25)*$W$88</f>
        <v>36.4</v>
      </c>
      <c r="Q123" s="385">
        <v>0.54</v>
      </c>
      <c r="R123" s="323">
        <v>2.1</v>
      </c>
      <c r="S123" s="67">
        <f t="shared" si="19"/>
        <v>71.640458643898668</v>
      </c>
      <c r="T123" s="192"/>
      <c r="U123" s="1106"/>
      <c r="V123" s="389"/>
      <c r="W123" s="350">
        <f t="shared" si="20"/>
        <v>71.640458643898668</v>
      </c>
      <c r="X123" s="341">
        <f t="shared" si="21"/>
        <v>1.9681444682389744</v>
      </c>
      <c r="Y123" s="80"/>
    </row>
    <row r="124" spans="1:25">
      <c r="A124" s="30"/>
      <c r="B124" s="380" t="s">
        <v>586</v>
      </c>
      <c r="C124" s="363">
        <f>4100+3120</f>
        <v>7220</v>
      </c>
      <c r="D124" s="35">
        <v>7300</v>
      </c>
      <c r="E124" s="190">
        <v>2005</v>
      </c>
      <c r="F124" s="190">
        <v>1960</v>
      </c>
      <c r="G124" s="190">
        <f t="shared" si="14"/>
        <v>45</v>
      </c>
      <c r="H124" s="194">
        <f t="shared" si="6"/>
        <v>55</v>
      </c>
      <c r="I124" s="194">
        <v>5000</v>
      </c>
      <c r="J124" s="233">
        <f t="shared" si="15"/>
        <v>205.45693622616699</v>
      </c>
      <c r="K124" s="233">
        <v>60</v>
      </c>
      <c r="L124" s="233">
        <f t="shared" si="16"/>
        <v>5</v>
      </c>
      <c r="M124" s="189">
        <v>0.15</v>
      </c>
      <c r="N124" s="66">
        <f t="shared" si="17"/>
        <v>1083</v>
      </c>
      <c r="O124" s="66">
        <f t="shared" si="18"/>
        <v>4151.5</v>
      </c>
      <c r="P124" s="359">
        <f>(15.21/6.25)*$W$88</f>
        <v>24.336000000000002</v>
      </c>
      <c r="Q124" s="385">
        <v>0.22</v>
      </c>
      <c r="R124" s="323">
        <v>2.2000000000000002</v>
      </c>
      <c r="S124" s="67">
        <f t="shared" si="19"/>
        <v>55.453504959205191</v>
      </c>
      <c r="T124" s="35">
        <f>(0.06*17)*(P124*T91)</f>
        <v>67.021344000000013</v>
      </c>
      <c r="U124" s="206">
        <f>0.15*T124</f>
        <v>10.053201600000001</v>
      </c>
      <c r="V124" s="389"/>
      <c r="W124" s="350">
        <f t="shared" si="20"/>
        <v>132.52805055920521</v>
      </c>
      <c r="X124" s="341">
        <f t="shared" si="21"/>
        <v>5.4457614463841715</v>
      </c>
      <c r="Y124" s="80"/>
    </row>
    <row r="125" spans="1:25">
      <c r="A125" s="30"/>
      <c r="B125" s="380" t="s">
        <v>30</v>
      </c>
      <c r="C125" s="363">
        <v>8641</v>
      </c>
      <c r="D125" s="35">
        <v>8700</v>
      </c>
      <c r="E125" s="190">
        <v>2014</v>
      </c>
      <c r="F125" s="190">
        <v>2014</v>
      </c>
      <c r="G125" s="190">
        <f t="shared" si="14"/>
        <v>0</v>
      </c>
      <c r="H125" s="194">
        <f t="shared" si="6"/>
        <v>1</v>
      </c>
      <c r="I125" s="194">
        <v>2000</v>
      </c>
      <c r="J125" s="233">
        <f t="shared" si="15"/>
        <v>79.365079365079367</v>
      </c>
      <c r="K125" s="233">
        <v>50</v>
      </c>
      <c r="L125" s="233">
        <f t="shared" si="16"/>
        <v>49</v>
      </c>
      <c r="M125" s="189">
        <v>0.25</v>
      </c>
      <c r="N125" s="66">
        <f t="shared" si="17"/>
        <v>2160.25</v>
      </c>
      <c r="O125" s="66">
        <f t="shared" si="18"/>
        <v>5400.625</v>
      </c>
      <c r="P125" s="359">
        <f>(15.75/6.25)*$W$88</f>
        <v>25.2</v>
      </c>
      <c r="Q125" s="385">
        <v>0.3</v>
      </c>
      <c r="R125" s="323">
        <v>1.4</v>
      </c>
      <c r="S125" s="67">
        <f t="shared" si="19"/>
        <v>15.08694351751792</v>
      </c>
      <c r="T125" s="192"/>
      <c r="U125" s="1106"/>
      <c r="V125" s="389"/>
      <c r="W125" s="350">
        <f t="shared" si="20"/>
        <v>15.08694351751792</v>
      </c>
      <c r="X125" s="341">
        <f t="shared" si="21"/>
        <v>0.59868823482213973</v>
      </c>
      <c r="Y125" s="80"/>
    </row>
    <row r="126" spans="1:25">
      <c r="A126" s="30"/>
      <c r="B126" s="380"/>
      <c r="C126" s="363"/>
      <c r="D126" s="35"/>
      <c r="E126" s="190"/>
      <c r="F126" s="190"/>
      <c r="G126" s="190"/>
      <c r="H126" s="194"/>
      <c r="I126" s="194"/>
      <c r="J126" s="233"/>
      <c r="K126" s="233"/>
      <c r="L126" s="64"/>
      <c r="M126" s="189"/>
      <c r="N126" s="66"/>
      <c r="O126" s="66"/>
      <c r="P126" s="359"/>
      <c r="Q126" s="385"/>
      <c r="R126" s="323"/>
      <c r="S126" s="67"/>
      <c r="T126" s="35"/>
      <c r="U126" s="206"/>
      <c r="V126" s="389"/>
      <c r="W126" s="350"/>
      <c r="X126" s="341"/>
      <c r="Y126" s="80"/>
    </row>
    <row r="127" spans="1:25" s="30" customFormat="1">
      <c r="B127" s="381" t="s">
        <v>240</v>
      </c>
      <c r="C127" s="358"/>
      <c r="D127" s="39"/>
      <c r="E127" s="194"/>
      <c r="F127" s="194"/>
      <c r="G127" s="194"/>
      <c r="H127" s="194"/>
      <c r="I127" s="194"/>
      <c r="J127" s="140"/>
      <c r="K127" s="140"/>
      <c r="L127" s="65"/>
      <c r="M127" s="186"/>
      <c r="N127" s="67"/>
      <c r="O127" s="67"/>
      <c r="P127" s="359"/>
      <c r="Q127" s="383"/>
      <c r="R127" s="323"/>
      <c r="S127" s="67"/>
      <c r="T127" s="39"/>
      <c r="U127" s="1104"/>
      <c r="V127" s="389"/>
      <c r="W127" s="352"/>
      <c r="X127" s="409"/>
      <c r="Y127" s="331"/>
    </row>
    <row r="128" spans="1:25" s="30" customFormat="1">
      <c r="B128" s="378" t="s">
        <v>35</v>
      </c>
      <c r="C128" s="358">
        <v>1500</v>
      </c>
      <c r="D128" s="39">
        <v>1600</v>
      </c>
      <c r="E128" s="194">
        <v>2014</v>
      </c>
      <c r="F128" s="194">
        <v>2014</v>
      </c>
      <c r="G128" s="194">
        <f>E128-F128</f>
        <v>0</v>
      </c>
      <c r="H128" s="194">
        <f>2015-F128</f>
        <v>1</v>
      </c>
      <c r="I128" s="194">
        <v>2000</v>
      </c>
      <c r="J128" s="140">
        <f>I128/P128</f>
        <v>283.90022675736964</v>
      </c>
      <c r="K128" s="140">
        <v>50</v>
      </c>
      <c r="L128" s="140">
        <f>K128-H128</f>
        <v>49</v>
      </c>
      <c r="M128" s="186">
        <v>0.25</v>
      </c>
      <c r="N128" s="67">
        <f>C128*M128</f>
        <v>375</v>
      </c>
      <c r="O128" s="67">
        <f>(C128+N128)/2</f>
        <v>937.5</v>
      </c>
      <c r="P128" s="359">
        <f>(4.41/6.26)*$W$88</f>
        <v>7.0447284345047922</v>
      </c>
      <c r="Q128" s="383">
        <v>0.38</v>
      </c>
      <c r="R128" s="323">
        <v>1.4</v>
      </c>
      <c r="S128" s="67">
        <f>D128*((Q128*(((P128*H128)/1000)^R128))/H128)</f>
        <v>0.5900835910739114</v>
      </c>
      <c r="T128" s="192"/>
      <c r="U128" s="1106"/>
      <c r="V128" s="389"/>
      <c r="W128" s="350">
        <f>SUM(S128:U128)</f>
        <v>0.5900835910739114</v>
      </c>
      <c r="X128" s="409">
        <f>W128/P128</f>
        <v>8.3762432655843211E-2</v>
      </c>
      <c r="Y128" s="331"/>
    </row>
    <row r="129" spans="1:35">
      <c r="A129" s="30"/>
      <c r="B129" s="378" t="s">
        <v>582</v>
      </c>
      <c r="C129" s="358">
        <v>4700</v>
      </c>
      <c r="D129" s="39">
        <v>5500</v>
      </c>
      <c r="E129" s="190">
        <v>2010</v>
      </c>
      <c r="F129" s="190">
        <v>2010</v>
      </c>
      <c r="G129" s="190">
        <f>E129-F129</f>
        <v>0</v>
      </c>
      <c r="H129" s="194">
        <f>2015-F129</f>
        <v>5</v>
      </c>
      <c r="I129" s="190">
        <v>2000</v>
      </c>
      <c r="J129" s="233">
        <f>I129/P129</f>
        <v>714.28571428571422</v>
      </c>
      <c r="K129" s="233">
        <v>50</v>
      </c>
      <c r="L129" s="233">
        <f>K129-H129</f>
        <v>45</v>
      </c>
      <c r="M129" s="189">
        <v>0.2</v>
      </c>
      <c r="N129" s="66">
        <f>C129*M129</f>
        <v>940</v>
      </c>
      <c r="O129" s="66">
        <f>(C129+N129)/2</f>
        <v>2820</v>
      </c>
      <c r="P129" s="359">
        <f>(1.75/6.25)*$W$88</f>
        <v>2.8000000000000003</v>
      </c>
      <c r="Q129" s="385">
        <v>0.3</v>
      </c>
      <c r="R129" s="323">
        <v>1.4</v>
      </c>
      <c r="S129" s="67">
        <f>D129*((Q129*(((P129*H129)/1000)^R129))/H129)</f>
        <v>0.83770901635541983</v>
      </c>
      <c r="T129" s="192"/>
      <c r="U129" s="1106"/>
      <c r="V129" s="389"/>
      <c r="W129" s="350">
        <f>SUM(S129:U129)</f>
        <v>0.83770901635541983</v>
      </c>
      <c r="X129" s="341">
        <f>W129/P129</f>
        <v>0.29918179155550706</v>
      </c>
      <c r="Y129" s="80"/>
    </row>
    <row r="130" spans="1:35">
      <c r="A130" s="30"/>
      <c r="B130" s="380" t="s">
        <v>205</v>
      </c>
      <c r="C130" s="363"/>
      <c r="D130" s="35"/>
      <c r="E130" s="190"/>
      <c r="F130" s="190"/>
      <c r="G130" s="190"/>
      <c r="H130" s="194"/>
      <c r="I130" s="190"/>
      <c r="J130" s="233"/>
      <c r="K130" s="233"/>
      <c r="L130" s="64"/>
      <c r="M130" s="189"/>
      <c r="N130" s="66"/>
      <c r="O130" s="66"/>
      <c r="P130" s="359"/>
      <c r="Q130" s="385"/>
      <c r="R130" s="323"/>
      <c r="S130" s="67"/>
      <c r="T130" s="35"/>
      <c r="U130" s="206"/>
      <c r="V130" s="389"/>
      <c r="W130" s="350"/>
      <c r="X130" s="341"/>
      <c r="Y130" s="80"/>
    </row>
    <row r="131" spans="1:35">
      <c r="A131" s="30"/>
      <c r="B131" s="379" t="s">
        <v>239</v>
      </c>
      <c r="C131" s="363"/>
      <c r="D131" s="35"/>
      <c r="E131" s="190"/>
      <c r="F131" s="190"/>
      <c r="G131" s="190"/>
      <c r="H131" s="194"/>
      <c r="I131" s="190"/>
      <c r="J131" s="233"/>
      <c r="K131" s="233"/>
      <c r="L131" s="64"/>
      <c r="M131" s="189"/>
      <c r="N131" s="66"/>
      <c r="O131" s="66"/>
      <c r="P131" s="359"/>
      <c r="Q131" s="385"/>
      <c r="R131" s="323"/>
      <c r="S131" s="67"/>
      <c r="T131" s="35"/>
      <c r="U131" s="206"/>
      <c r="V131" s="389"/>
      <c r="W131" s="350"/>
      <c r="X131" s="341"/>
      <c r="Y131" s="80"/>
    </row>
    <row r="132" spans="1:35">
      <c r="A132" s="30"/>
      <c r="B132" s="378" t="s">
        <v>208</v>
      </c>
      <c r="C132" s="358">
        <v>4680</v>
      </c>
      <c r="D132" s="39">
        <v>5000</v>
      </c>
      <c r="E132" s="190">
        <v>2009</v>
      </c>
      <c r="F132" s="190">
        <v>2009</v>
      </c>
      <c r="G132" s="190">
        <f t="shared" si="14"/>
        <v>0</v>
      </c>
      <c r="H132" s="194">
        <f t="shared" si="6"/>
        <v>6</v>
      </c>
      <c r="I132" s="190">
        <v>1500</v>
      </c>
      <c r="J132" s="233">
        <f>I132/P132</f>
        <v>34.555842241061555</v>
      </c>
      <c r="K132" s="233">
        <v>30</v>
      </c>
      <c r="L132" s="233">
        <f>K132-H132</f>
        <v>24</v>
      </c>
      <c r="M132" s="189">
        <v>0.25</v>
      </c>
      <c r="N132" s="66">
        <f>C132*M132</f>
        <v>1170</v>
      </c>
      <c r="O132" s="66">
        <f>(C132+N132)/2</f>
        <v>2925</v>
      </c>
      <c r="P132" s="359">
        <f>(27.13/6.25)*$W$88</f>
        <v>43.408000000000001</v>
      </c>
      <c r="Q132" s="385">
        <v>0.41</v>
      </c>
      <c r="R132" s="323">
        <v>1.3</v>
      </c>
      <c r="S132" s="67">
        <f>D132*((Q132*(((P132*H132)/1000)^R132))/H132)</f>
        <v>59.434682290049402</v>
      </c>
      <c r="T132" s="192"/>
      <c r="U132" s="1106"/>
      <c r="V132" s="389"/>
      <c r="W132" s="350">
        <f>SUM(S132:U132)</f>
        <v>59.434682290049402</v>
      </c>
      <c r="X132" s="341">
        <f>W132/P132</f>
        <v>1.3692103365750414</v>
      </c>
      <c r="Y132" s="80"/>
    </row>
    <row r="133" spans="1:35">
      <c r="A133" s="30"/>
      <c r="B133" s="378" t="s">
        <v>33</v>
      </c>
      <c r="C133" s="358">
        <v>1400</v>
      </c>
      <c r="D133" s="39">
        <v>1500</v>
      </c>
      <c r="E133" s="190">
        <v>2004</v>
      </c>
      <c r="F133" s="190">
        <v>2004</v>
      </c>
      <c r="G133" s="190">
        <f t="shared" si="14"/>
        <v>0</v>
      </c>
      <c r="H133" s="194">
        <f t="shared" si="6"/>
        <v>11</v>
      </c>
      <c r="I133" s="190">
        <v>1500</v>
      </c>
      <c r="J133" s="233">
        <f>I133/P133</f>
        <v>109.01162790697676</v>
      </c>
      <c r="K133" s="233">
        <v>30</v>
      </c>
      <c r="L133" s="233">
        <f>K133-H133</f>
        <v>19</v>
      </c>
      <c r="M133" s="189">
        <v>0.25</v>
      </c>
      <c r="N133" s="66">
        <f>C133*M133</f>
        <v>350</v>
      </c>
      <c r="O133" s="66">
        <f>(C133+N133)/2</f>
        <v>875</v>
      </c>
      <c r="P133" s="359">
        <f>(8.6/6.25)*$W$88</f>
        <v>13.759999999999998</v>
      </c>
      <c r="Q133" s="385">
        <v>0.41</v>
      </c>
      <c r="R133" s="323">
        <v>1.3</v>
      </c>
      <c r="S133" s="67">
        <f>D133*((Q133*(((P133*H133)/1000)^R133))/H133)</f>
        <v>4.8028263580864641</v>
      </c>
      <c r="T133" s="192"/>
      <c r="U133" s="1106"/>
      <c r="V133" s="389"/>
      <c r="W133" s="350">
        <f>SUM(S133:U133)</f>
        <v>4.8028263580864641</v>
      </c>
      <c r="X133" s="341">
        <f>W133/P133</f>
        <v>0.34904261323302799</v>
      </c>
      <c r="Y133" s="80"/>
    </row>
    <row r="134" spans="1:35">
      <c r="A134" s="30"/>
      <c r="B134" s="378"/>
      <c r="C134" s="358"/>
      <c r="D134" s="39"/>
      <c r="E134" s="190"/>
      <c r="F134" s="190"/>
      <c r="G134" s="190"/>
      <c r="H134" s="194"/>
      <c r="I134" s="190"/>
      <c r="J134" s="233"/>
      <c r="K134" s="233"/>
      <c r="L134" s="64"/>
      <c r="M134" s="189"/>
      <c r="N134" s="66"/>
      <c r="O134" s="66"/>
      <c r="P134" s="359"/>
      <c r="Q134" s="385"/>
      <c r="R134" s="323"/>
      <c r="S134" s="67"/>
      <c r="T134" s="35"/>
      <c r="U134" s="206"/>
      <c r="V134" s="389"/>
      <c r="W134" s="350"/>
      <c r="X134" s="341"/>
      <c r="Y134" s="80"/>
    </row>
    <row r="135" spans="1:35">
      <c r="A135" s="30"/>
      <c r="B135" s="381" t="s">
        <v>160</v>
      </c>
      <c r="C135" s="358"/>
      <c r="D135" s="39"/>
      <c r="E135" s="190"/>
      <c r="F135" s="190"/>
      <c r="G135" s="190"/>
      <c r="H135" s="194"/>
      <c r="I135" s="190"/>
      <c r="J135" s="233"/>
      <c r="K135" s="233"/>
      <c r="L135" s="64"/>
      <c r="M135" s="189"/>
      <c r="N135" s="66"/>
      <c r="O135" s="66"/>
      <c r="P135" s="359"/>
      <c r="Q135" s="385"/>
      <c r="R135" s="323"/>
      <c r="S135" s="67"/>
      <c r="T135" s="35"/>
      <c r="U135" s="206"/>
      <c r="V135" s="389"/>
      <c r="W135" s="350"/>
      <c r="X135" s="341"/>
      <c r="Y135" s="80"/>
    </row>
    <row r="136" spans="1:35">
      <c r="A136" s="30"/>
      <c r="B136" s="380" t="s">
        <v>57</v>
      </c>
      <c r="C136" s="363">
        <v>3000</v>
      </c>
      <c r="D136" s="35">
        <v>3100</v>
      </c>
      <c r="E136" s="190">
        <v>2015</v>
      </c>
      <c r="F136" s="190">
        <v>2015</v>
      </c>
      <c r="G136" s="190">
        <f t="shared" si="14"/>
        <v>0</v>
      </c>
      <c r="H136" s="194">
        <v>0.5</v>
      </c>
      <c r="I136" s="190">
        <v>3000</v>
      </c>
      <c r="J136" s="233">
        <f>I136/P136</f>
        <v>21.30681818181818</v>
      </c>
      <c r="K136" s="233">
        <v>25</v>
      </c>
      <c r="L136" s="233">
        <f>K136-H136</f>
        <v>24.5</v>
      </c>
      <c r="M136" s="189">
        <v>0.1</v>
      </c>
      <c r="N136" s="66">
        <f>C136*M136</f>
        <v>300</v>
      </c>
      <c r="O136" s="66">
        <f>(C136+N136)/2</f>
        <v>1650</v>
      </c>
      <c r="P136" s="359">
        <f>(22*4)/6.25*$W$88</f>
        <v>140.80000000000001</v>
      </c>
      <c r="Q136" s="385">
        <v>0.19</v>
      </c>
      <c r="R136" s="323">
        <v>1.3</v>
      </c>
      <c r="S136" s="67">
        <f>D136*((Q136*(((P136*H136)/1000)^R136))/H136)</f>
        <v>37.410175651132519</v>
      </c>
      <c r="T136" s="192"/>
      <c r="U136" s="1106"/>
      <c r="V136" s="389"/>
      <c r="W136" s="350">
        <f>SUM(S136:U136)</f>
        <v>37.410175651132519</v>
      </c>
      <c r="X136" s="341">
        <f>W136/P136</f>
        <v>0.26569727024952072</v>
      </c>
      <c r="Y136" s="80"/>
    </row>
    <row r="137" spans="1:35" s="30" customFormat="1">
      <c r="B137" s="378" t="s">
        <v>227</v>
      </c>
      <c r="C137" s="358">
        <f>2200+150</f>
        <v>2350</v>
      </c>
      <c r="D137" s="39">
        <v>2400</v>
      </c>
      <c r="E137" s="194">
        <v>2015</v>
      </c>
      <c r="F137" s="194">
        <v>2015</v>
      </c>
      <c r="G137" s="194">
        <f t="shared" si="14"/>
        <v>0</v>
      </c>
      <c r="H137" s="194">
        <v>0.5</v>
      </c>
      <c r="I137" s="194">
        <v>1500</v>
      </c>
      <c r="J137" s="140">
        <f>I137/P137</f>
        <v>37.5</v>
      </c>
      <c r="K137" s="140">
        <v>30</v>
      </c>
      <c r="L137" s="140">
        <f>K137-H137</f>
        <v>29.5</v>
      </c>
      <c r="M137" s="186">
        <v>0.1</v>
      </c>
      <c r="N137" s="67">
        <f>C137*M137</f>
        <v>235</v>
      </c>
      <c r="O137" s="67">
        <f>(C137+N137)/2</f>
        <v>1292.5</v>
      </c>
      <c r="P137" s="359">
        <f>(25/6.25)*$W$88</f>
        <v>40</v>
      </c>
      <c r="Q137" s="383">
        <v>0.19</v>
      </c>
      <c r="R137" s="323">
        <v>1.3</v>
      </c>
      <c r="S137" s="67">
        <f>D137*((Q137*(((P137*H137)/1000)^R137))/H137)</f>
        <v>5.6407107835284895</v>
      </c>
      <c r="T137" s="192"/>
      <c r="U137" s="1106"/>
      <c r="V137" s="389"/>
      <c r="W137" s="350">
        <f>SUM(S137:U137)</f>
        <v>5.6407107835284895</v>
      </c>
      <c r="X137" s="409">
        <f>W137/P137</f>
        <v>0.14101776958821224</v>
      </c>
      <c r="Y137" s="331"/>
    </row>
    <row r="138" spans="1:35" s="30" customFormat="1" ht="16" thickBot="1">
      <c r="B138" s="382" t="s">
        <v>34</v>
      </c>
      <c r="C138" s="365">
        <v>20000</v>
      </c>
      <c r="D138" s="342">
        <v>40000</v>
      </c>
      <c r="E138" s="343">
        <v>2015</v>
      </c>
      <c r="F138" s="343">
        <v>2000</v>
      </c>
      <c r="G138" s="343">
        <f t="shared" si="14"/>
        <v>15</v>
      </c>
      <c r="H138" s="343">
        <f t="shared" si="6"/>
        <v>15</v>
      </c>
      <c r="I138" s="343">
        <v>1200</v>
      </c>
      <c r="J138" s="141">
        <f>I138/P138</f>
        <v>125</v>
      </c>
      <c r="K138" s="141">
        <v>40</v>
      </c>
      <c r="L138" s="141">
        <f>K138-H138</f>
        <v>25</v>
      </c>
      <c r="M138" s="1101">
        <v>0.3</v>
      </c>
      <c r="N138" s="345">
        <f>C138*M138</f>
        <v>6000</v>
      </c>
      <c r="O138" s="345">
        <f>(C138+N138)/2</f>
        <v>13000</v>
      </c>
      <c r="P138" s="366">
        <f>(6/6.25)*$W$88</f>
        <v>9.6</v>
      </c>
      <c r="Q138" s="1111">
        <v>0.18</v>
      </c>
      <c r="R138" s="344">
        <v>2</v>
      </c>
      <c r="S138" s="345">
        <f>D138*((Q138*(((P138*H138)/1000)^R138))/H138)</f>
        <v>9.9532799999999977</v>
      </c>
      <c r="T138" s="346"/>
      <c r="U138" s="1112"/>
      <c r="V138" s="392"/>
      <c r="W138" s="353">
        <f>SUM(S138:U138)</f>
        <v>9.9532799999999977</v>
      </c>
      <c r="X138" s="1113">
        <f>W138/P138</f>
        <v>1.0367999999999997</v>
      </c>
      <c r="Y138" s="331"/>
    </row>
    <row r="139" spans="1:35" s="81" customFormat="1">
      <c r="B139" s="38"/>
      <c r="C139" s="39"/>
      <c r="D139" s="39"/>
      <c r="E139" s="194"/>
      <c r="F139" s="194"/>
      <c r="G139" s="194"/>
      <c r="H139" s="194"/>
      <c r="I139" s="194"/>
      <c r="J139" s="140"/>
      <c r="K139" s="140"/>
      <c r="L139" s="65"/>
      <c r="M139" s="186"/>
      <c r="N139" s="67"/>
      <c r="O139" s="67"/>
      <c r="P139" s="323"/>
      <c r="Q139" s="323"/>
      <c r="R139" s="323"/>
      <c r="S139" s="67"/>
      <c r="T139" s="39"/>
      <c r="U139" s="67"/>
      <c r="V139" s="65"/>
      <c r="W139" s="67"/>
      <c r="X139" s="331"/>
      <c r="Y139" s="331"/>
    </row>
    <row r="140" spans="1:35" s="30" customFormat="1" ht="16" thickBot="1">
      <c r="B140" s="38"/>
      <c r="C140" s="39"/>
      <c r="D140" s="39"/>
      <c r="E140" s="324"/>
      <c r="F140" s="324"/>
      <c r="G140" s="194"/>
      <c r="H140" s="194"/>
      <c r="I140" s="194"/>
      <c r="J140" s="140"/>
      <c r="K140" s="140"/>
      <c r="L140" s="140"/>
      <c r="M140" s="186"/>
      <c r="N140" s="67"/>
      <c r="O140" s="67"/>
      <c r="P140" s="323"/>
      <c r="Q140" s="65"/>
      <c r="R140" s="67"/>
      <c r="S140" s="67"/>
      <c r="T140" s="67"/>
      <c r="U140" s="67"/>
      <c r="V140" s="67"/>
      <c r="W140" s="67"/>
      <c r="X140" s="67"/>
      <c r="Y140" s="323"/>
      <c r="Z140" s="323"/>
      <c r="AA140" s="67"/>
      <c r="AB140" s="39"/>
      <c r="AC140" s="67"/>
      <c r="AD140" s="67"/>
      <c r="AE140" s="67"/>
      <c r="AF140" s="65"/>
      <c r="AG140" s="67"/>
      <c r="AH140" s="331"/>
      <c r="AI140" s="244"/>
    </row>
    <row r="141" spans="1:35" s="30" customFormat="1" ht="19" thickBot="1">
      <c r="B141" s="410" t="s">
        <v>599</v>
      </c>
      <c r="C141" s="411"/>
      <c r="D141" s="411"/>
      <c r="E141" s="411"/>
      <c r="F141" s="411"/>
      <c r="G141" s="411"/>
      <c r="H141" s="411"/>
      <c r="I141" s="411"/>
      <c r="J141" s="411"/>
      <c r="K141" s="411"/>
      <c r="L141" s="411"/>
      <c r="M141" s="411"/>
      <c r="N141" s="411"/>
      <c r="O141" s="411"/>
      <c r="P141" s="411"/>
      <c r="Q141" s="412"/>
      <c r="R141" s="412"/>
      <c r="S141" s="412"/>
      <c r="T141" s="412"/>
      <c r="U141" s="412"/>
      <c r="V141" s="1261">
        <v>10</v>
      </c>
      <c r="W141" s="554" t="s">
        <v>510</v>
      </c>
      <c r="X141" s="1041" t="s">
        <v>924</v>
      </c>
      <c r="Y141" s="184"/>
    </row>
    <row r="142" spans="1:35" s="30" customFormat="1" ht="18">
      <c r="B142" s="375"/>
      <c r="C142" s="367" t="s">
        <v>434</v>
      </c>
      <c r="D142" s="368"/>
      <c r="E142" s="368"/>
      <c r="F142" s="368"/>
      <c r="G142" s="368"/>
      <c r="H142" s="368"/>
      <c r="I142" s="368"/>
      <c r="J142" s="368"/>
      <c r="K142" s="368"/>
      <c r="L142" s="368"/>
      <c r="M142" s="368"/>
      <c r="N142" s="368"/>
      <c r="O142" s="368"/>
      <c r="P142" s="369"/>
      <c r="Q142" s="367" t="s">
        <v>206</v>
      </c>
      <c r="R142" s="370"/>
      <c r="S142" s="370"/>
      <c r="T142" s="371"/>
      <c r="U142" s="386"/>
      <c r="V142" s="367" t="s">
        <v>484</v>
      </c>
      <c r="W142" s="371"/>
      <c r="X142" s="337"/>
      <c r="Y142" s="41"/>
    </row>
    <row r="143" spans="1:35" ht="77" customHeight="1">
      <c r="A143" s="1100"/>
      <c r="B143" s="878" t="s">
        <v>235</v>
      </c>
      <c r="C143" s="879" t="s">
        <v>17</v>
      </c>
      <c r="D143" s="880" t="s">
        <v>428</v>
      </c>
      <c r="E143" s="881" t="s">
        <v>15</v>
      </c>
      <c r="F143" s="881" t="s">
        <v>16</v>
      </c>
      <c r="G143" s="881" t="s">
        <v>529</v>
      </c>
      <c r="H143" s="881" t="s">
        <v>528</v>
      </c>
      <c r="I143" s="881" t="s">
        <v>525</v>
      </c>
      <c r="J143" s="881" t="s">
        <v>524</v>
      </c>
      <c r="K143" s="881" t="s">
        <v>935</v>
      </c>
      <c r="L143" s="881" t="s">
        <v>526</v>
      </c>
      <c r="M143" s="881" t="s">
        <v>245</v>
      </c>
      <c r="N143" s="881" t="s">
        <v>18</v>
      </c>
      <c r="O143" s="881" t="s">
        <v>19</v>
      </c>
      <c r="P143" s="882" t="s">
        <v>527</v>
      </c>
      <c r="Q143" s="879" t="s">
        <v>21</v>
      </c>
      <c r="R143" s="880" t="s">
        <v>22</v>
      </c>
      <c r="S143" s="880" t="s">
        <v>23</v>
      </c>
      <c r="T143" s="884" t="s">
        <v>24</v>
      </c>
      <c r="U143" s="885"/>
      <c r="V143" s="879" t="s">
        <v>530</v>
      </c>
      <c r="W143" s="884" t="s">
        <v>531</v>
      </c>
      <c r="X143" s="187"/>
    </row>
    <row r="144" spans="1:35">
      <c r="A144" s="1100"/>
      <c r="B144" s="377" t="s">
        <v>432</v>
      </c>
      <c r="C144" s="356"/>
      <c r="D144" s="316"/>
      <c r="E144" s="317"/>
      <c r="F144" s="317"/>
      <c r="G144" s="317"/>
      <c r="H144" s="317"/>
      <c r="I144" s="317"/>
      <c r="J144" s="318"/>
      <c r="K144" s="318"/>
      <c r="L144" s="318"/>
      <c r="M144" s="319"/>
      <c r="N144" s="318"/>
      <c r="O144" s="318"/>
      <c r="P144" s="357"/>
      <c r="Q144" s="348"/>
      <c r="R144" s="321"/>
      <c r="S144" s="321"/>
      <c r="T144" s="349"/>
      <c r="U144" s="388"/>
      <c r="V144" s="348"/>
      <c r="W144" s="349"/>
      <c r="X144" s="65"/>
    </row>
    <row r="145" spans="1:24">
      <c r="A145" s="1100"/>
      <c r="B145" s="378" t="s">
        <v>163</v>
      </c>
      <c r="C145" s="358">
        <v>43707</v>
      </c>
      <c r="D145" s="39">
        <v>45500</v>
      </c>
      <c r="E145" s="194">
        <v>2011</v>
      </c>
      <c r="F145" s="194">
        <v>2011</v>
      </c>
      <c r="G145" s="194">
        <f>E145-F145</f>
        <v>0</v>
      </c>
      <c r="H145" s="194">
        <f>2015-F145</f>
        <v>4</v>
      </c>
      <c r="I145" s="194">
        <v>10000</v>
      </c>
      <c r="J145" s="140">
        <f>I145/P145</f>
        <v>42.427533772316878</v>
      </c>
      <c r="K145" s="140">
        <v>50</v>
      </c>
      <c r="L145" s="140">
        <f>K145-H145</f>
        <v>46</v>
      </c>
      <c r="M145" s="189">
        <v>0.2</v>
      </c>
      <c r="N145" s="66">
        <f>C145*M145</f>
        <v>8741.4</v>
      </c>
      <c r="O145" s="66">
        <f>(C145+N145)/2</f>
        <v>26224.2</v>
      </c>
      <c r="P145" s="359">
        <f>((140.81+6.5)/6.25)*$V$141</f>
        <v>235.69600000000003</v>
      </c>
      <c r="Q145" s="350">
        <f>C145-N145</f>
        <v>34965.599999999999</v>
      </c>
      <c r="R145" s="66">
        <f>Q145/K145</f>
        <v>699.31200000000001</v>
      </c>
      <c r="S145" s="66">
        <f>0.05*O145</f>
        <v>1311.21</v>
      </c>
      <c r="T145" s="206">
        <f>0.01*O145</f>
        <v>262.24200000000002</v>
      </c>
      <c r="U145" s="389"/>
      <c r="V145" s="350">
        <f>SUM(R145:T145)</f>
        <v>2272.7640000000001</v>
      </c>
      <c r="W145" s="341">
        <f>V145/P145</f>
        <v>9.6427771366506008</v>
      </c>
      <c r="X145" s="373"/>
    </row>
    <row r="146" spans="1:24">
      <c r="A146" s="1100"/>
      <c r="B146" s="378" t="s">
        <v>162</v>
      </c>
      <c r="C146" s="358">
        <v>20850</v>
      </c>
      <c r="D146" s="39">
        <v>26609</v>
      </c>
      <c r="E146" s="194">
        <v>2004</v>
      </c>
      <c r="F146" s="194">
        <v>2004</v>
      </c>
      <c r="G146" s="194">
        <f>E146-F146</f>
        <v>0</v>
      </c>
      <c r="H146" s="194">
        <f>2015-F146</f>
        <v>11</v>
      </c>
      <c r="I146" s="194">
        <v>10000</v>
      </c>
      <c r="J146" s="140">
        <f>I146/P146</f>
        <v>30.153905533844739</v>
      </c>
      <c r="K146" s="140">
        <v>40</v>
      </c>
      <c r="L146" s="140">
        <f>K146-H146</f>
        <v>29</v>
      </c>
      <c r="M146" s="189">
        <v>0.2</v>
      </c>
      <c r="N146" s="66">
        <f>C146*M146</f>
        <v>4170</v>
      </c>
      <c r="O146" s="66">
        <f>(C146+N146)/2</f>
        <v>12510</v>
      </c>
      <c r="P146" s="359">
        <f>(207.27/6.25)*$V$141</f>
        <v>331.63200000000006</v>
      </c>
      <c r="Q146" s="350">
        <f>C146-N146</f>
        <v>16680</v>
      </c>
      <c r="R146" s="66">
        <f t="shared" ref="R146:R189" si="22">Q146/K146</f>
        <v>417</v>
      </c>
      <c r="S146" s="66">
        <f>0.05*O146</f>
        <v>625.5</v>
      </c>
      <c r="T146" s="206">
        <f>0.01*O146</f>
        <v>125.10000000000001</v>
      </c>
      <c r="U146" s="389"/>
      <c r="V146" s="350">
        <f>SUM(R146:T146)</f>
        <v>1167.5999999999999</v>
      </c>
      <c r="W146" s="341">
        <f>V146/P146</f>
        <v>3.5207700101317112</v>
      </c>
      <c r="X146" s="373"/>
    </row>
    <row r="147" spans="1:24">
      <c r="A147" s="1100"/>
      <c r="B147" s="378" t="s">
        <v>25</v>
      </c>
      <c r="C147" s="358">
        <v>10992</v>
      </c>
      <c r="D147" s="39">
        <v>9971</v>
      </c>
      <c r="E147" s="194">
        <v>1999</v>
      </c>
      <c r="F147" s="194">
        <v>1995</v>
      </c>
      <c r="G147" s="194">
        <f>E147-F147</f>
        <v>4</v>
      </c>
      <c r="H147" s="194">
        <f>2015-F147</f>
        <v>20</v>
      </c>
      <c r="I147" s="194">
        <v>10000</v>
      </c>
      <c r="J147" s="140">
        <f>I147/P147</f>
        <v>558.53440571939234</v>
      </c>
      <c r="K147" s="140">
        <v>50</v>
      </c>
      <c r="L147" s="140">
        <f>K147-H147</f>
        <v>30</v>
      </c>
      <c r="M147" s="189">
        <v>0.2</v>
      </c>
      <c r="N147" s="66">
        <f>C147*M147</f>
        <v>2198.4</v>
      </c>
      <c r="O147" s="66">
        <f>(C147+N147)/2</f>
        <v>6595.2</v>
      </c>
      <c r="P147" s="359">
        <f>(11.19/6.25)*$V$141</f>
        <v>17.904</v>
      </c>
      <c r="Q147" s="350">
        <f>C147-N147</f>
        <v>8793.6</v>
      </c>
      <c r="R147" s="66">
        <f t="shared" si="22"/>
        <v>175.87200000000001</v>
      </c>
      <c r="S147" s="66">
        <f>0.05*O147</f>
        <v>329.76</v>
      </c>
      <c r="T147" s="206">
        <f>0.01*O147</f>
        <v>65.951999999999998</v>
      </c>
      <c r="U147" s="389"/>
      <c r="V147" s="350">
        <f>SUM(R147:T147)</f>
        <v>571.58400000000006</v>
      </c>
      <c r="W147" s="341">
        <f>V147/P147</f>
        <v>31.924932975871318</v>
      </c>
      <c r="X147" s="373"/>
    </row>
    <row r="148" spans="1:24">
      <c r="A148" s="1100"/>
      <c r="B148" s="378" t="s">
        <v>26</v>
      </c>
      <c r="C148" s="358">
        <v>5000</v>
      </c>
      <c r="D148" s="39">
        <v>8699</v>
      </c>
      <c r="E148" s="194">
        <v>2015</v>
      </c>
      <c r="F148" s="194">
        <v>2007</v>
      </c>
      <c r="G148" s="194">
        <f>E148-F148</f>
        <v>8</v>
      </c>
      <c r="H148" s="194">
        <f>2015-F148</f>
        <v>8</v>
      </c>
      <c r="I148" s="194">
        <v>5000</v>
      </c>
      <c r="J148" s="140">
        <f>I148/P148</f>
        <v>45.955882352941174</v>
      </c>
      <c r="K148" s="140">
        <v>20</v>
      </c>
      <c r="L148" s="140">
        <f>K148-H148</f>
        <v>12</v>
      </c>
      <c r="M148" s="189">
        <v>0.15</v>
      </c>
      <c r="N148" s="66">
        <f>C148*M148</f>
        <v>750</v>
      </c>
      <c r="O148" s="66">
        <f>(C148+N148)/2</f>
        <v>2875</v>
      </c>
      <c r="P148" s="359">
        <f>(68/6.25)*$V$141</f>
        <v>108.80000000000001</v>
      </c>
      <c r="Q148" s="350">
        <f>C148-N148</f>
        <v>4250</v>
      </c>
      <c r="R148" s="66">
        <f t="shared" si="22"/>
        <v>212.5</v>
      </c>
      <c r="S148" s="66">
        <f>0.05*O148</f>
        <v>143.75</v>
      </c>
      <c r="T148" s="206">
        <f>0.01*O148</f>
        <v>28.75</v>
      </c>
      <c r="U148" s="389"/>
      <c r="V148" s="350">
        <f>SUM(R148:T148)</f>
        <v>385</v>
      </c>
      <c r="W148" s="341">
        <f>V148/P148</f>
        <v>3.5386029411764701</v>
      </c>
      <c r="X148" s="373"/>
    </row>
    <row r="149" spans="1:24">
      <c r="A149" s="1100"/>
      <c r="B149" s="378"/>
      <c r="C149" s="358"/>
      <c r="D149" s="39"/>
      <c r="E149" s="194"/>
      <c r="F149" s="194"/>
      <c r="G149" s="194"/>
      <c r="H149" s="194"/>
      <c r="I149" s="194"/>
      <c r="J149" s="140"/>
      <c r="K149" s="140"/>
      <c r="L149" s="140"/>
      <c r="M149" s="189"/>
      <c r="N149" s="66"/>
      <c r="O149" s="66"/>
      <c r="P149" s="359"/>
      <c r="Q149" s="350"/>
      <c r="R149" s="66"/>
      <c r="S149" s="66"/>
      <c r="T149" s="206"/>
      <c r="U149" s="389"/>
      <c r="V149" s="350"/>
      <c r="W149" s="341"/>
      <c r="X149" s="373"/>
    </row>
    <row r="150" spans="1:24">
      <c r="A150" s="1100"/>
      <c r="B150" s="377" t="s">
        <v>433</v>
      </c>
      <c r="C150" s="356"/>
      <c r="D150" s="316"/>
      <c r="E150" s="325"/>
      <c r="F150" s="325"/>
      <c r="G150" s="325"/>
      <c r="H150" s="325"/>
      <c r="I150" s="325"/>
      <c r="J150" s="326"/>
      <c r="K150" s="326"/>
      <c r="L150" s="317"/>
      <c r="M150" s="319"/>
      <c r="N150" s="321"/>
      <c r="O150" s="321"/>
      <c r="P150" s="360"/>
      <c r="Q150" s="348"/>
      <c r="R150" s="321"/>
      <c r="S150" s="321"/>
      <c r="T150" s="349"/>
      <c r="U150" s="388"/>
      <c r="V150" s="348"/>
      <c r="W150" s="405"/>
      <c r="X150" s="373"/>
    </row>
    <row r="151" spans="1:24">
      <c r="A151" s="1100"/>
      <c r="B151" s="379" t="s">
        <v>236</v>
      </c>
      <c r="C151" s="361"/>
      <c r="D151" s="146"/>
      <c r="E151" s="190"/>
      <c r="F151" s="190"/>
      <c r="G151" s="190"/>
      <c r="H151" s="190"/>
      <c r="I151" s="190"/>
      <c r="J151" s="233"/>
      <c r="K151" s="233"/>
      <c r="L151" s="233"/>
      <c r="M151" s="189"/>
      <c r="N151" s="66"/>
      <c r="O151" s="66"/>
      <c r="P151" s="359"/>
      <c r="Q151" s="350"/>
      <c r="R151" s="66"/>
      <c r="S151" s="66"/>
      <c r="T151" s="206"/>
      <c r="U151" s="389"/>
      <c r="V151" s="350"/>
      <c r="W151" s="341"/>
      <c r="X151" s="373"/>
    </row>
    <row r="152" spans="1:24">
      <c r="A152" s="1100"/>
      <c r="B152" s="378" t="s">
        <v>27</v>
      </c>
      <c r="C152" s="358">
        <v>4975</v>
      </c>
      <c r="D152" s="39">
        <v>8699</v>
      </c>
      <c r="E152" s="194">
        <v>2005</v>
      </c>
      <c r="F152" s="194">
        <v>2005</v>
      </c>
      <c r="G152" s="194">
        <f t="shared" ref="G152:G159" si="23">E152-F152</f>
        <v>0</v>
      </c>
      <c r="H152" s="194">
        <f t="shared" ref="H152:H157" si="24">2015-F152</f>
        <v>10</v>
      </c>
      <c r="I152" s="194">
        <v>1200</v>
      </c>
      <c r="J152" s="140">
        <f t="shared" ref="J152:J159" si="25">I152/P152</f>
        <v>114.50381679389312</v>
      </c>
      <c r="K152" s="140">
        <v>40</v>
      </c>
      <c r="L152" s="140">
        <f t="shared" ref="L152:L159" si="26">K152-H152</f>
        <v>30</v>
      </c>
      <c r="M152" s="189">
        <v>0.1</v>
      </c>
      <c r="N152" s="66">
        <f t="shared" ref="N152:N159" si="27">C152*M152</f>
        <v>497.5</v>
      </c>
      <c r="O152" s="66">
        <f t="shared" ref="O152:O159" si="28">(C152+N152)/2</f>
        <v>2736.25</v>
      </c>
      <c r="P152" s="359">
        <f>(6.55/6.25)*$V$141</f>
        <v>10.48</v>
      </c>
      <c r="Q152" s="350">
        <f t="shared" ref="Q152:Q159" si="29">C152-N152</f>
        <v>4477.5</v>
      </c>
      <c r="R152" s="66">
        <f t="shared" si="22"/>
        <v>111.9375</v>
      </c>
      <c r="S152" s="66">
        <f t="shared" ref="S152:S159" si="30">0.05*O152</f>
        <v>136.8125</v>
      </c>
      <c r="T152" s="206">
        <f t="shared" ref="T152:T159" si="31">0.01*O152</f>
        <v>27.362500000000001</v>
      </c>
      <c r="U152" s="389"/>
      <c r="V152" s="350">
        <f t="shared" ref="V152:V159" si="32">SUM(R152:T152)</f>
        <v>276.11250000000001</v>
      </c>
      <c r="W152" s="341">
        <f t="shared" ref="W152:W159" si="33">V152/P152</f>
        <v>26.346612595419849</v>
      </c>
      <c r="X152" s="373"/>
    </row>
    <row r="153" spans="1:24">
      <c r="A153" s="1100"/>
      <c r="B153" s="380" t="s">
        <v>28</v>
      </c>
      <c r="C153" s="358">
        <v>3000</v>
      </c>
      <c r="D153" s="39">
        <v>8500</v>
      </c>
      <c r="E153" s="190">
        <v>2007</v>
      </c>
      <c r="F153" s="190">
        <v>2000</v>
      </c>
      <c r="G153" s="190">
        <f t="shared" si="23"/>
        <v>7</v>
      </c>
      <c r="H153" s="194">
        <f t="shared" si="24"/>
        <v>15</v>
      </c>
      <c r="I153" s="190">
        <v>1200</v>
      </c>
      <c r="J153" s="140">
        <f t="shared" si="25"/>
        <v>61.881188118811885</v>
      </c>
      <c r="K153" s="233">
        <v>50</v>
      </c>
      <c r="L153" s="233">
        <f t="shared" si="26"/>
        <v>35</v>
      </c>
      <c r="M153" s="189">
        <v>0.15</v>
      </c>
      <c r="N153" s="66">
        <f t="shared" si="27"/>
        <v>450</v>
      </c>
      <c r="O153" s="66">
        <f t="shared" si="28"/>
        <v>1725</v>
      </c>
      <c r="P153" s="359">
        <f>(12.12/6.25)*$V$141</f>
        <v>19.391999999999999</v>
      </c>
      <c r="Q153" s="350">
        <f t="shared" si="29"/>
        <v>2550</v>
      </c>
      <c r="R153" s="66">
        <f t="shared" si="22"/>
        <v>51</v>
      </c>
      <c r="S153" s="66">
        <f t="shared" si="30"/>
        <v>86.25</v>
      </c>
      <c r="T153" s="206">
        <f t="shared" si="31"/>
        <v>17.25</v>
      </c>
      <c r="U153" s="389"/>
      <c r="V153" s="350">
        <f t="shared" si="32"/>
        <v>154.5</v>
      </c>
      <c r="W153" s="341">
        <f t="shared" si="33"/>
        <v>7.9672029702970297</v>
      </c>
      <c r="X153" s="373"/>
    </row>
    <row r="154" spans="1:24">
      <c r="A154" s="1100"/>
      <c r="B154" s="380" t="s">
        <v>223</v>
      </c>
      <c r="C154" s="358">
        <v>5000</v>
      </c>
      <c r="D154" s="39">
        <v>10000</v>
      </c>
      <c r="E154" s="190">
        <v>2010</v>
      </c>
      <c r="F154" s="190">
        <v>2005</v>
      </c>
      <c r="G154" s="190">
        <f t="shared" si="23"/>
        <v>5</v>
      </c>
      <c r="H154" s="194">
        <f t="shared" si="24"/>
        <v>10</v>
      </c>
      <c r="I154" s="190">
        <v>1200</v>
      </c>
      <c r="J154" s="140">
        <f t="shared" si="25"/>
        <v>22.34137622877569</v>
      </c>
      <c r="K154" s="233">
        <v>30</v>
      </c>
      <c r="L154" s="233">
        <f t="shared" si="26"/>
        <v>20</v>
      </c>
      <c r="M154" s="189">
        <v>0.1</v>
      </c>
      <c r="N154" s="66">
        <f t="shared" si="27"/>
        <v>500</v>
      </c>
      <c r="O154" s="66">
        <f t="shared" si="28"/>
        <v>2750</v>
      </c>
      <c r="P154" s="359">
        <f>((33.57)/6.25)*$V$141</f>
        <v>53.712000000000003</v>
      </c>
      <c r="Q154" s="350">
        <f t="shared" si="29"/>
        <v>4500</v>
      </c>
      <c r="R154" s="66">
        <f t="shared" si="22"/>
        <v>150</v>
      </c>
      <c r="S154" s="66">
        <f t="shared" si="30"/>
        <v>137.5</v>
      </c>
      <c r="T154" s="206">
        <f t="shared" si="31"/>
        <v>27.5</v>
      </c>
      <c r="U154" s="389"/>
      <c r="V154" s="350">
        <f t="shared" si="32"/>
        <v>315</v>
      </c>
      <c r="W154" s="341">
        <f t="shared" si="33"/>
        <v>5.8646112600536187</v>
      </c>
      <c r="X154" s="373"/>
    </row>
    <row r="155" spans="1:24">
      <c r="A155" s="1100"/>
      <c r="B155" s="380" t="s">
        <v>29</v>
      </c>
      <c r="C155" s="358">
        <v>1800</v>
      </c>
      <c r="D155" s="39">
        <v>4000</v>
      </c>
      <c r="E155" s="190">
        <v>2000</v>
      </c>
      <c r="F155" s="190">
        <v>2000</v>
      </c>
      <c r="G155" s="190">
        <f t="shared" si="23"/>
        <v>0</v>
      </c>
      <c r="H155" s="194">
        <f t="shared" si="24"/>
        <v>15</v>
      </c>
      <c r="I155" s="190">
        <v>2000</v>
      </c>
      <c r="J155" s="140">
        <f t="shared" si="25"/>
        <v>52.01831044527674</v>
      </c>
      <c r="K155" s="233">
        <v>50</v>
      </c>
      <c r="L155" s="233">
        <f t="shared" si="26"/>
        <v>35</v>
      </c>
      <c r="M155" s="189">
        <v>0.15</v>
      </c>
      <c r="N155" s="66">
        <f t="shared" si="27"/>
        <v>270</v>
      </c>
      <c r="O155" s="66">
        <f t="shared" si="28"/>
        <v>1035</v>
      </c>
      <c r="P155" s="359">
        <f>(24.03/6.25)*$V$141</f>
        <v>38.448</v>
      </c>
      <c r="Q155" s="350">
        <f t="shared" si="29"/>
        <v>1530</v>
      </c>
      <c r="R155" s="66">
        <f t="shared" si="22"/>
        <v>30.6</v>
      </c>
      <c r="S155" s="66">
        <f t="shared" si="30"/>
        <v>51.75</v>
      </c>
      <c r="T155" s="206">
        <f t="shared" si="31"/>
        <v>10.35</v>
      </c>
      <c r="U155" s="389"/>
      <c r="V155" s="350">
        <f t="shared" si="32"/>
        <v>92.699999999999989</v>
      </c>
      <c r="W155" s="341">
        <f t="shared" si="33"/>
        <v>2.4110486891385765</v>
      </c>
      <c r="X155" s="373"/>
    </row>
    <row r="156" spans="1:24">
      <c r="A156" s="1100"/>
      <c r="B156" s="380" t="s">
        <v>241</v>
      </c>
      <c r="C156" s="358">
        <f>6290+3445</f>
        <v>9735</v>
      </c>
      <c r="D156" s="39">
        <v>10000</v>
      </c>
      <c r="E156" s="190">
        <v>2013</v>
      </c>
      <c r="F156" s="190">
        <v>2013</v>
      </c>
      <c r="G156" s="190">
        <f t="shared" si="23"/>
        <v>0</v>
      </c>
      <c r="H156" s="194">
        <f t="shared" si="24"/>
        <v>2</v>
      </c>
      <c r="I156" s="190">
        <v>1200</v>
      </c>
      <c r="J156" s="140">
        <f t="shared" si="25"/>
        <v>54.347826086956516</v>
      </c>
      <c r="K156" s="233">
        <v>30</v>
      </c>
      <c r="L156" s="233">
        <f t="shared" si="26"/>
        <v>28</v>
      </c>
      <c r="M156" s="189">
        <v>0.1</v>
      </c>
      <c r="N156" s="66">
        <f t="shared" si="27"/>
        <v>973.5</v>
      </c>
      <c r="O156" s="66">
        <f t="shared" si="28"/>
        <v>5354.25</v>
      </c>
      <c r="P156" s="359">
        <f>(13.8/6.25)*$V$141</f>
        <v>22.080000000000002</v>
      </c>
      <c r="Q156" s="350">
        <f t="shared" si="29"/>
        <v>8761.5</v>
      </c>
      <c r="R156" s="66">
        <f t="shared" si="22"/>
        <v>292.05</v>
      </c>
      <c r="S156" s="66">
        <f t="shared" si="30"/>
        <v>267.71250000000003</v>
      </c>
      <c r="T156" s="206">
        <f t="shared" si="31"/>
        <v>53.542500000000004</v>
      </c>
      <c r="U156" s="389"/>
      <c r="V156" s="350">
        <f t="shared" si="32"/>
        <v>613.30500000000006</v>
      </c>
      <c r="W156" s="341">
        <f t="shared" si="33"/>
        <v>27.776494565217391</v>
      </c>
      <c r="X156" s="374"/>
    </row>
    <row r="157" spans="1:24">
      <c r="A157" s="1100"/>
      <c r="B157" s="380" t="s">
        <v>242</v>
      </c>
      <c r="C157" s="358">
        <v>19139</v>
      </c>
      <c r="D157" s="39">
        <v>25000</v>
      </c>
      <c r="E157" s="190">
        <v>2008</v>
      </c>
      <c r="F157" s="190">
        <v>2008</v>
      </c>
      <c r="G157" s="190">
        <f t="shared" si="23"/>
        <v>0</v>
      </c>
      <c r="H157" s="194">
        <f t="shared" si="24"/>
        <v>7</v>
      </c>
      <c r="I157" s="190">
        <v>1200</v>
      </c>
      <c r="J157" s="140">
        <f t="shared" si="25"/>
        <v>22.706630336058126</v>
      </c>
      <c r="K157" s="233">
        <v>30</v>
      </c>
      <c r="L157" s="233">
        <f t="shared" si="26"/>
        <v>23</v>
      </c>
      <c r="M157" s="189">
        <v>0.1</v>
      </c>
      <c r="N157" s="66">
        <f t="shared" si="27"/>
        <v>1913.9</v>
      </c>
      <c r="O157" s="66">
        <f t="shared" si="28"/>
        <v>10526.45</v>
      </c>
      <c r="P157" s="359">
        <f>(33.03/6.25)*$V$141</f>
        <v>52.848000000000006</v>
      </c>
      <c r="Q157" s="350">
        <f t="shared" si="29"/>
        <v>17225.099999999999</v>
      </c>
      <c r="R157" s="66">
        <f t="shared" si="22"/>
        <v>574.16999999999996</v>
      </c>
      <c r="S157" s="66">
        <f t="shared" si="30"/>
        <v>526.3225000000001</v>
      </c>
      <c r="T157" s="206">
        <f t="shared" si="31"/>
        <v>105.26450000000001</v>
      </c>
      <c r="U157" s="389"/>
      <c r="V157" s="350">
        <f t="shared" si="32"/>
        <v>1205.7570000000001</v>
      </c>
      <c r="W157" s="341">
        <f t="shared" si="33"/>
        <v>22.815565395095366</v>
      </c>
      <c r="X157" s="374"/>
    </row>
    <row r="158" spans="1:24">
      <c r="A158" s="1100"/>
      <c r="B158" s="380" t="s">
        <v>224</v>
      </c>
      <c r="C158" s="358">
        <v>1915</v>
      </c>
      <c r="D158" s="39">
        <v>1915</v>
      </c>
      <c r="E158" s="190">
        <v>2015</v>
      </c>
      <c r="F158" s="190">
        <v>2015</v>
      </c>
      <c r="G158" s="190">
        <f t="shared" si="23"/>
        <v>0</v>
      </c>
      <c r="H158" s="194">
        <v>0.5</v>
      </c>
      <c r="I158" s="190">
        <v>2000</v>
      </c>
      <c r="J158" s="140">
        <f t="shared" si="25"/>
        <v>250</v>
      </c>
      <c r="K158" s="233">
        <v>50</v>
      </c>
      <c r="L158" s="233">
        <f t="shared" si="26"/>
        <v>49.5</v>
      </c>
      <c r="M158" s="189">
        <v>0.15</v>
      </c>
      <c r="N158" s="66">
        <f t="shared" si="27"/>
        <v>287.25</v>
      </c>
      <c r="O158" s="66">
        <f t="shared" si="28"/>
        <v>1101.125</v>
      </c>
      <c r="P158" s="359">
        <f>(5/6.25)*$V$141</f>
        <v>8</v>
      </c>
      <c r="Q158" s="350">
        <f t="shared" si="29"/>
        <v>1627.75</v>
      </c>
      <c r="R158" s="66">
        <f t="shared" si="22"/>
        <v>32.555</v>
      </c>
      <c r="S158" s="66">
        <f t="shared" si="30"/>
        <v>55.056250000000006</v>
      </c>
      <c r="T158" s="206">
        <f t="shared" si="31"/>
        <v>11.01125</v>
      </c>
      <c r="U158" s="389"/>
      <c r="V158" s="350">
        <f t="shared" si="32"/>
        <v>98.622500000000016</v>
      </c>
      <c r="W158" s="341">
        <f t="shared" si="33"/>
        <v>12.327812500000002</v>
      </c>
      <c r="X158" s="374"/>
    </row>
    <row r="159" spans="1:24">
      <c r="A159" s="1100"/>
      <c r="B159" s="380" t="s">
        <v>243</v>
      </c>
      <c r="C159" s="358">
        <v>1000</v>
      </c>
      <c r="D159" s="39">
        <v>1200</v>
      </c>
      <c r="E159" s="190">
        <v>2000</v>
      </c>
      <c r="F159" s="190">
        <v>2000</v>
      </c>
      <c r="G159" s="190">
        <f t="shared" si="23"/>
        <v>0</v>
      </c>
      <c r="H159" s="194">
        <f>2015-F159</f>
        <v>15</v>
      </c>
      <c r="I159" s="190">
        <v>2000</v>
      </c>
      <c r="J159" s="140">
        <f t="shared" si="25"/>
        <v>128.6008230452675</v>
      </c>
      <c r="K159" s="233">
        <v>50</v>
      </c>
      <c r="L159" s="233">
        <f t="shared" si="26"/>
        <v>35</v>
      </c>
      <c r="M159" s="189">
        <v>0.15</v>
      </c>
      <c r="N159" s="66">
        <f t="shared" si="27"/>
        <v>150</v>
      </c>
      <c r="O159" s="66">
        <f t="shared" si="28"/>
        <v>575</v>
      </c>
      <c r="P159" s="359">
        <f>(7.72+2)/6.25*$V$141</f>
        <v>15.552</v>
      </c>
      <c r="Q159" s="350">
        <f t="shared" si="29"/>
        <v>850</v>
      </c>
      <c r="R159" s="66">
        <f t="shared" si="22"/>
        <v>17</v>
      </c>
      <c r="S159" s="66">
        <f t="shared" si="30"/>
        <v>28.75</v>
      </c>
      <c r="T159" s="206">
        <f t="shared" si="31"/>
        <v>5.75</v>
      </c>
      <c r="U159" s="389"/>
      <c r="V159" s="350">
        <f t="shared" si="32"/>
        <v>51.5</v>
      </c>
      <c r="W159" s="341">
        <f t="shared" si="33"/>
        <v>3.3114711934156378</v>
      </c>
      <c r="X159" s="374"/>
    </row>
    <row r="160" spans="1:24">
      <c r="A160" s="1100"/>
      <c r="B160" s="380"/>
      <c r="C160" s="358"/>
      <c r="D160" s="39"/>
      <c r="E160" s="190"/>
      <c r="F160" s="190"/>
      <c r="G160" s="190"/>
      <c r="H160" s="194"/>
      <c r="I160" s="190"/>
      <c r="J160" s="140"/>
      <c r="K160" s="233"/>
      <c r="L160" s="233"/>
      <c r="M160" s="189"/>
      <c r="N160" s="66"/>
      <c r="O160" s="66"/>
      <c r="P160" s="359"/>
      <c r="Q160" s="350"/>
      <c r="R160" s="66"/>
      <c r="S160" s="66"/>
      <c r="T160" s="206"/>
      <c r="U160" s="389"/>
      <c r="V160" s="350"/>
      <c r="W160" s="341"/>
      <c r="X160" s="374"/>
    </row>
    <row r="161" spans="1:24">
      <c r="A161" s="30"/>
      <c r="B161" s="379" t="s">
        <v>238</v>
      </c>
      <c r="C161" s="363"/>
      <c r="D161" s="35"/>
      <c r="E161" s="190"/>
      <c r="F161" s="190"/>
      <c r="G161" s="190"/>
      <c r="H161" s="194"/>
      <c r="I161" s="194"/>
      <c r="J161" s="233"/>
      <c r="K161" s="233"/>
      <c r="L161" s="64"/>
      <c r="M161" s="189"/>
      <c r="N161" s="66"/>
      <c r="O161" s="66"/>
      <c r="P161" s="359"/>
      <c r="Q161" s="350"/>
      <c r="R161" s="66"/>
      <c r="S161" s="66"/>
      <c r="T161" s="206"/>
      <c r="U161" s="389"/>
      <c r="V161" s="350"/>
      <c r="W161" s="341"/>
      <c r="X161" s="374"/>
    </row>
    <row r="162" spans="1:24">
      <c r="A162" s="30"/>
      <c r="B162" s="380" t="s">
        <v>32</v>
      </c>
      <c r="C162" s="363">
        <v>6545</v>
      </c>
      <c r="D162" s="35">
        <v>6600</v>
      </c>
      <c r="E162" s="190">
        <v>2008</v>
      </c>
      <c r="F162" s="190">
        <v>2008</v>
      </c>
      <c r="G162" s="190">
        <f>E162-F162</f>
        <v>0</v>
      </c>
      <c r="H162" s="194">
        <f>2015-F162</f>
        <v>7</v>
      </c>
      <c r="I162" s="194">
        <v>2000</v>
      </c>
      <c r="J162" s="233">
        <f>I162/P162</f>
        <v>95.93246354566385</v>
      </c>
      <c r="K162" s="233">
        <v>50</v>
      </c>
      <c r="L162" s="233">
        <f>K162-H162</f>
        <v>43</v>
      </c>
      <c r="M162" s="189">
        <v>0.2</v>
      </c>
      <c r="N162" s="66">
        <f>C162*M162</f>
        <v>1309</v>
      </c>
      <c r="O162" s="66">
        <f>(C162+N162)/2</f>
        <v>3927</v>
      </c>
      <c r="P162" s="359">
        <f>(13.03/6.25)*$V$141</f>
        <v>20.847999999999999</v>
      </c>
      <c r="Q162" s="350">
        <f>C162-N162</f>
        <v>5236</v>
      </c>
      <c r="R162" s="66">
        <f t="shared" si="22"/>
        <v>104.72</v>
      </c>
      <c r="S162" s="66">
        <f>0.05*O162</f>
        <v>196.35000000000002</v>
      </c>
      <c r="T162" s="206">
        <f>0.01*O162</f>
        <v>39.270000000000003</v>
      </c>
      <c r="U162" s="389"/>
      <c r="V162" s="350">
        <f>SUM(R162:T162)</f>
        <v>340.34000000000003</v>
      </c>
      <c r="W162" s="341">
        <f>V162/P162</f>
        <v>16.324827321565621</v>
      </c>
      <c r="X162" s="374"/>
    </row>
    <row r="163" spans="1:24" ht="15" customHeight="1">
      <c r="A163" s="30"/>
      <c r="B163" s="1281" t="s">
        <v>226</v>
      </c>
      <c r="C163" s="351">
        <f>2250+1170</f>
        <v>3420</v>
      </c>
      <c r="D163" s="147">
        <v>3500</v>
      </c>
      <c r="E163" s="190">
        <v>2005</v>
      </c>
      <c r="F163" s="190">
        <v>2005</v>
      </c>
      <c r="G163" s="190">
        <f>E163-F163</f>
        <v>0</v>
      </c>
      <c r="H163" s="194">
        <f>2015-F163</f>
        <v>10</v>
      </c>
      <c r="I163" s="330">
        <v>2000</v>
      </c>
      <c r="J163" s="233">
        <f>I163/P163</f>
        <v>47.61904761904762</v>
      </c>
      <c r="K163" s="233">
        <v>50</v>
      </c>
      <c r="L163" s="233">
        <f>K163-H163</f>
        <v>40</v>
      </c>
      <c r="M163" s="189">
        <v>0.15</v>
      </c>
      <c r="N163" s="147">
        <f>C163*M163</f>
        <v>513</v>
      </c>
      <c r="O163" s="66">
        <f>(C163+N163)/2</f>
        <v>1966.5</v>
      </c>
      <c r="P163" s="364">
        <f>(26.25/6.25)*$V$141</f>
        <v>42</v>
      </c>
      <c r="Q163" s="351">
        <f>C163-N163</f>
        <v>2907</v>
      </c>
      <c r="R163" s="66">
        <f t="shared" si="22"/>
        <v>58.14</v>
      </c>
      <c r="S163" s="147">
        <f>0.05*O163</f>
        <v>98.325000000000003</v>
      </c>
      <c r="T163" s="1114">
        <f>0.01*O163</f>
        <v>19.664999999999999</v>
      </c>
      <c r="U163" s="391"/>
      <c r="V163" s="350">
        <f>SUM(R163:T163)</f>
        <v>176.13</v>
      </c>
      <c r="W163" s="408">
        <f>V163/P163</f>
        <v>4.1935714285714285</v>
      </c>
      <c r="X163" s="374"/>
    </row>
    <row r="164" spans="1:24" ht="15" customHeight="1">
      <c r="A164" s="30"/>
      <c r="B164" s="1281"/>
      <c r="C164" s="351"/>
      <c r="D164" s="147"/>
      <c r="E164" s="190"/>
      <c r="F164" s="190"/>
      <c r="G164" s="190"/>
      <c r="H164" s="194"/>
      <c r="I164" s="330"/>
      <c r="J164" s="233"/>
      <c r="K164" s="233"/>
      <c r="L164" s="64"/>
      <c r="M164" s="189"/>
      <c r="N164" s="147"/>
      <c r="O164" s="66"/>
      <c r="P164" s="364"/>
      <c r="Q164" s="351"/>
      <c r="R164" s="66"/>
      <c r="S164" s="147"/>
      <c r="T164" s="1114"/>
      <c r="U164" s="391"/>
      <c r="V164" s="351"/>
      <c r="W164" s="408"/>
      <c r="X164" s="374"/>
    </row>
    <row r="165" spans="1:24">
      <c r="A165" s="30"/>
      <c r="B165" s="380" t="s">
        <v>229</v>
      </c>
      <c r="C165" s="363">
        <f>4100+400</f>
        <v>4500</v>
      </c>
      <c r="D165" s="35">
        <v>4500</v>
      </c>
      <c r="E165" s="190">
        <v>1974</v>
      </c>
      <c r="F165" s="190">
        <v>1960</v>
      </c>
      <c r="G165" s="190">
        <f>E165-F165</f>
        <v>14</v>
      </c>
      <c r="H165" s="194">
        <f>2015-F165</f>
        <v>55</v>
      </c>
      <c r="I165" s="194">
        <v>5000</v>
      </c>
      <c r="J165" s="233">
        <f>I165/P165</f>
        <v>254.06504065040647</v>
      </c>
      <c r="K165" s="233">
        <v>60</v>
      </c>
      <c r="L165" s="233">
        <f>K165-H165</f>
        <v>5</v>
      </c>
      <c r="M165" s="189">
        <v>0.15</v>
      </c>
      <c r="N165" s="66">
        <f>C165*M165</f>
        <v>675</v>
      </c>
      <c r="O165" s="66">
        <f>(C165+N165)/2</f>
        <v>2587.5</v>
      </c>
      <c r="P165" s="359">
        <f>(12.3/6.25)*$V$141</f>
        <v>19.680000000000003</v>
      </c>
      <c r="Q165" s="351">
        <f>C165-N165</f>
        <v>3825</v>
      </c>
      <c r="R165" s="66">
        <f t="shared" si="22"/>
        <v>63.75</v>
      </c>
      <c r="S165" s="147">
        <f>0.05*O165</f>
        <v>129.375</v>
      </c>
      <c r="T165" s="206">
        <f>0.01*O165</f>
        <v>25.875</v>
      </c>
      <c r="U165" s="389"/>
      <c r="V165" s="350">
        <f>SUM(R165:T165)</f>
        <v>219</v>
      </c>
      <c r="W165" s="341">
        <f>V165/P165</f>
        <v>11.128048780487804</v>
      </c>
      <c r="X165" s="374"/>
    </row>
    <row r="166" spans="1:24">
      <c r="A166" s="30"/>
      <c r="B166" s="380" t="s">
        <v>31</v>
      </c>
      <c r="C166" s="363">
        <v>1950</v>
      </c>
      <c r="D166" s="35">
        <v>2000</v>
      </c>
      <c r="E166" s="190">
        <v>2005</v>
      </c>
      <c r="F166" s="190">
        <v>2005</v>
      </c>
      <c r="G166" s="190">
        <f>E166-F166</f>
        <v>0</v>
      </c>
      <c r="H166" s="194">
        <f>2015-F166</f>
        <v>10</v>
      </c>
      <c r="I166" s="194">
        <v>2000</v>
      </c>
      <c r="J166" s="233">
        <f>I166/P166</f>
        <v>274.72527472527474</v>
      </c>
      <c r="K166" s="233">
        <v>50</v>
      </c>
      <c r="L166" s="233">
        <f>K166-H166</f>
        <v>40</v>
      </c>
      <c r="M166" s="189">
        <v>0.15</v>
      </c>
      <c r="N166" s="66">
        <f>C166*M166</f>
        <v>292.5</v>
      </c>
      <c r="O166" s="66">
        <f>(C166+N166)/2</f>
        <v>1121.25</v>
      </c>
      <c r="P166" s="359">
        <f>(4.55/6.25)*$V$141</f>
        <v>7.2799999999999994</v>
      </c>
      <c r="Q166" s="350">
        <f>C166-N166</f>
        <v>1657.5</v>
      </c>
      <c r="R166" s="66">
        <f t="shared" si="22"/>
        <v>33.15</v>
      </c>
      <c r="S166" s="66">
        <f>0.05*O166</f>
        <v>56.0625</v>
      </c>
      <c r="T166" s="206">
        <f>0.01*O166</f>
        <v>11.2125</v>
      </c>
      <c r="U166" s="389"/>
      <c r="V166" s="350">
        <f>SUM(R166:T166)</f>
        <v>100.42500000000001</v>
      </c>
      <c r="W166" s="341">
        <f>V166/P166</f>
        <v>13.794642857142859</v>
      </c>
      <c r="X166" s="374"/>
    </row>
    <row r="167" spans="1:24">
      <c r="A167" s="30"/>
      <c r="B167" s="380" t="s">
        <v>56</v>
      </c>
      <c r="C167" s="363">
        <f>4793+2065</f>
        <v>6858</v>
      </c>
      <c r="D167" s="35">
        <v>6900</v>
      </c>
      <c r="E167" s="190">
        <v>2011</v>
      </c>
      <c r="F167" s="190">
        <v>2011</v>
      </c>
      <c r="G167" s="190">
        <f>E167-F167</f>
        <v>0</v>
      </c>
      <c r="H167" s="194">
        <f>2015-F167</f>
        <v>4</v>
      </c>
      <c r="I167" s="194">
        <v>1200</v>
      </c>
      <c r="J167" s="233">
        <f>I167/P167</f>
        <v>64.766839378238345</v>
      </c>
      <c r="K167" s="233">
        <v>20</v>
      </c>
      <c r="L167" s="233">
        <f>K167-H167</f>
        <v>16</v>
      </c>
      <c r="M167" s="189">
        <v>0.25</v>
      </c>
      <c r="N167" s="66">
        <f>C167*M167</f>
        <v>1714.5</v>
      </c>
      <c r="O167" s="66">
        <f>(C167+N167)/2</f>
        <v>4286.25</v>
      </c>
      <c r="P167" s="359">
        <f>(11.58/6.25)*$V$141</f>
        <v>18.527999999999999</v>
      </c>
      <c r="Q167" s="350">
        <f>C167-N167</f>
        <v>5143.5</v>
      </c>
      <c r="R167" s="66">
        <f t="shared" si="22"/>
        <v>257.17500000000001</v>
      </c>
      <c r="S167" s="66">
        <f>0.05*O167</f>
        <v>214.3125</v>
      </c>
      <c r="T167" s="206">
        <f>0.01*O167</f>
        <v>42.862500000000004</v>
      </c>
      <c r="U167" s="389"/>
      <c r="V167" s="350">
        <f>SUM(R167:T167)</f>
        <v>514.35</v>
      </c>
      <c r="W167" s="341">
        <f>V167/P167</f>
        <v>27.760686528497413</v>
      </c>
      <c r="X167" s="374"/>
    </row>
    <row r="168" spans="1:24">
      <c r="A168" s="1100"/>
      <c r="B168" s="380"/>
      <c r="C168" s="358"/>
      <c r="D168" s="39"/>
      <c r="E168" s="190"/>
      <c r="F168" s="190"/>
      <c r="G168" s="190"/>
      <c r="H168" s="194"/>
      <c r="I168" s="328"/>
      <c r="J168" s="233"/>
      <c r="K168" s="233"/>
      <c r="L168" s="233"/>
      <c r="M168" s="233"/>
      <c r="N168" s="65"/>
      <c r="O168" s="323"/>
      <c r="P168" s="362"/>
      <c r="Q168" s="350"/>
      <c r="R168" s="66"/>
      <c r="S168" s="65"/>
      <c r="T168" s="1115"/>
      <c r="U168" s="389"/>
      <c r="V168" s="1118"/>
      <c r="W168" s="341"/>
      <c r="X168" s="374"/>
    </row>
    <row r="169" spans="1:24">
      <c r="A169" s="30"/>
      <c r="B169" s="379" t="s">
        <v>237</v>
      </c>
      <c r="C169" s="358"/>
      <c r="D169" s="190"/>
      <c r="E169" s="190"/>
      <c r="F169" s="190"/>
      <c r="G169" s="190"/>
      <c r="H169" s="194"/>
      <c r="I169" s="233"/>
      <c r="J169" s="233"/>
      <c r="K169" s="189"/>
      <c r="L169" s="66"/>
      <c r="M169" s="66"/>
      <c r="N169" s="65"/>
      <c r="O169" s="66"/>
      <c r="P169" s="206"/>
      <c r="Q169" s="350"/>
      <c r="R169" s="66"/>
      <c r="S169" s="66"/>
      <c r="T169" s="206"/>
      <c r="U169" s="390"/>
      <c r="V169" s="350"/>
      <c r="W169" s="409"/>
      <c r="X169" s="374"/>
    </row>
    <row r="170" spans="1:24">
      <c r="A170" s="30"/>
      <c r="B170" s="378" t="s">
        <v>209</v>
      </c>
      <c r="C170" s="358">
        <v>800</v>
      </c>
      <c r="D170" s="39">
        <v>1000</v>
      </c>
      <c r="E170" s="190">
        <v>2009</v>
      </c>
      <c r="F170" s="190">
        <v>2009</v>
      </c>
      <c r="G170" s="190">
        <f t="shared" ref="G170:G176" si="34">E170-F170</f>
        <v>0</v>
      </c>
      <c r="H170" s="194">
        <f t="shared" ref="H170:H176" si="35">2015-F170</f>
        <v>6</v>
      </c>
      <c r="I170" s="190">
        <v>2000</v>
      </c>
      <c r="J170" s="233">
        <f t="shared" ref="J170:J176" si="36">I170/P170</f>
        <v>111.70688114387846</v>
      </c>
      <c r="K170" s="233">
        <v>50</v>
      </c>
      <c r="L170" s="233">
        <f t="shared" ref="L170:L176" si="37">K170-H170</f>
        <v>44</v>
      </c>
      <c r="M170" s="189">
        <v>0.1</v>
      </c>
      <c r="N170" s="66">
        <f t="shared" ref="N170:N176" si="38">C170*M170</f>
        <v>80</v>
      </c>
      <c r="O170" s="66">
        <f t="shared" ref="O170:O176" si="39">(C170+N170)/2</f>
        <v>440</v>
      </c>
      <c r="P170" s="359">
        <f>(11.19/6.25)*$V$141</f>
        <v>17.904</v>
      </c>
      <c r="Q170" s="350">
        <f t="shared" ref="Q170:Q176" si="40">C170-N170</f>
        <v>720</v>
      </c>
      <c r="R170" s="66">
        <f t="shared" si="22"/>
        <v>14.4</v>
      </c>
      <c r="S170" s="66">
        <f t="shared" ref="S170:S176" si="41">0.05*O170</f>
        <v>22</v>
      </c>
      <c r="T170" s="206">
        <f t="shared" ref="T170:T176" si="42">0.01*O170</f>
        <v>4.4000000000000004</v>
      </c>
      <c r="U170" s="389"/>
      <c r="V170" s="350">
        <f t="shared" ref="V170:V176" si="43">SUM(R170:T170)</f>
        <v>40.799999999999997</v>
      </c>
      <c r="W170" s="341">
        <f t="shared" ref="W170:W176" si="44">V170/P170</f>
        <v>2.2788203753351204</v>
      </c>
      <c r="X170" s="374"/>
    </row>
    <row r="171" spans="1:24">
      <c r="A171" s="30"/>
      <c r="B171" s="380" t="s">
        <v>210</v>
      </c>
      <c r="C171" s="358">
        <v>3200</v>
      </c>
      <c r="D171" s="39">
        <v>3200</v>
      </c>
      <c r="E171" s="190">
        <v>2013</v>
      </c>
      <c r="F171" s="190">
        <v>2013</v>
      </c>
      <c r="G171" s="190">
        <f t="shared" si="34"/>
        <v>0</v>
      </c>
      <c r="H171" s="194">
        <f t="shared" si="35"/>
        <v>2</v>
      </c>
      <c r="I171" s="190">
        <v>2000</v>
      </c>
      <c r="J171" s="233">
        <f t="shared" si="36"/>
        <v>89.605734767025098</v>
      </c>
      <c r="K171" s="233">
        <v>50</v>
      </c>
      <c r="L171" s="233">
        <f t="shared" si="37"/>
        <v>48</v>
      </c>
      <c r="M171" s="189">
        <v>0.1</v>
      </c>
      <c r="N171" s="66">
        <f t="shared" si="38"/>
        <v>320</v>
      </c>
      <c r="O171" s="66">
        <f t="shared" si="39"/>
        <v>1760</v>
      </c>
      <c r="P171" s="359">
        <f>(13.95/6.25)*$V$141</f>
        <v>22.319999999999997</v>
      </c>
      <c r="Q171" s="350">
        <f t="shared" si="40"/>
        <v>2880</v>
      </c>
      <c r="R171" s="66">
        <f t="shared" si="22"/>
        <v>57.6</v>
      </c>
      <c r="S171" s="66">
        <f t="shared" si="41"/>
        <v>88</v>
      </c>
      <c r="T171" s="206">
        <f t="shared" si="42"/>
        <v>17.600000000000001</v>
      </c>
      <c r="U171" s="389"/>
      <c r="V171" s="350">
        <f t="shared" si="43"/>
        <v>163.19999999999999</v>
      </c>
      <c r="W171" s="341">
        <f t="shared" si="44"/>
        <v>7.3118279569892479</v>
      </c>
      <c r="X171" s="374"/>
    </row>
    <row r="172" spans="1:24">
      <c r="A172" s="30"/>
      <c r="B172" s="380" t="s">
        <v>211</v>
      </c>
      <c r="C172" s="358">
        <f>5794</f>
        <v>5794</v>
      </c>
      <c r="D172" s="39">
        <v>5800</v>
      </c>
      <c r="E172" s="190">
        <v>2013</v>
      </c>
      <c r="F172" s="190">
        <v>2013</v>
      </c>
      <c r="G172" s="190">
        <f t="shared" si="34"/>
        <v>0</v>
      </c>
      <c r="H172" s="194">
        <f t="shared" si="35"/>
        <v>2</v>
      </c>
      <c r="I172" s="190">
        <v>2000</v>
      </c>
      <c r="J172" s="233">
        <f t="shared" si="36"/>
        <v>66.137566137566154</v>
      </c>
      <c r="K172" s="233">
        <v>50</v>
      </c>
      <c r="L172" s="233">
        <f t="shared" si="37"/>
        <v>48</v>
      </c>
      <c r="M172" s="189">
        <v>0.1</v>
      </c>
      <c r="N172" s="66">
        <f t="shared" si="38"/>
        <v>579.4</v>
      </c>
      <c r="O172" s="66">
        <f t="shared" si="39"/>
        <v>3186.7</v>
      </c>
      <c r="P172" s="359">
        <f>(18.9/6.25)*$V$141</f>
        <v>30.239999999999995</v>
      </c>
      <c r="Q172" s="350">
        <f t="shared" si="40"/>
        <v>5214.6000000000004</v>
      </c>
      <c r="R172" s="66">
        <f t="shared" si="22"/>
        <v>104.292</v>
      </c>
      <c r="S172" s="66">
        <f t="shared" si="41"/>
        <v>159.33500000000001</v>
      </c>
      <c r="T172" s="206">
        <f t="shared" si="42"/>
        <v>31.866999999999997</v>
      </c>
      <c r="U172" s="389"/>
      <c r="V172" s="350">
        <f t="shared" si="43"/>
        <v>295.49400000000003</v>
      </c>
      <c r="W172" s="341">
        <f t="shared" si="44"/>
        <v>9.7716269841269874</v>
      </c>
      <c r="X172" s="374"/>
    </row>
    <row r="173" spans="1:24">
      <c r="A173" s="30"/>
      <c r="B173" s="380" t="s">
        <v>212</v>
      </c>
      <c r="C173" s="363">
        <v>11740</v>
      </c>
      <c r="D173" s="35">
        <v>12000</v>
      </c>
      <c r="E173" s="190">
        <v>2009</v>
      </c>
      <c r="F173" s="190">
        <v>2009</v>
      </c>
      <c r="G173" s="190">
        <f t="shared" si="34"/>
        <v>0</v>
      </c>
      <c r="H173" s="194">
        <f t="shared" si="35"/>
        <v>6</v>
      </c>
      <c r="I173" s="190">
        <v>1500</v>
      </c>
      <c r="J173" s="233">
        <f t="shared" si="36"/>
        <v>37.635487755921325</v>
      </c>
      <c r="K173" s="233">
        <v>40</v>
      </c>
      <c r="L173" s="233">
        <f t="shared" si="37"/>
        <v>34</v>
      </c>
      <c r="M173" s="189">
        <v>0.25</v>
      </c>
      <c r="N173" s="66">
        <f t="shared" si="38"/>
        <v>2935</v>
      </c>
      <c r="O173" s="66">
        <f t="shared" si="39"/>
        <v>7337.5</v>
      </c>
      <c r="P173" s="359">
        <f>(24.91/6.25)*$V$141</f>
        <v>39.855999999999995</v>
      </c>
      <c r="Q173" s="350">
        <f t="shared" si="40"/>
        <v>8805</v>
      </c>
      <c r="R173" s="66">
        <f t="shared" si="22"/>
        <v>220.125</v>
      </c>
      <c r="S173" s="66">
        <f t="shared" si="41"/>
        <v>366.875</v>
      </c>
      <c r="T173" s="206">
        <f t="shared" si="42"/>
        <v>73.375</v>
      </c>
      <c r="U173" s="389"/>
      <c r="V173" s="350">
        <f t="shared" si="43"/>
        <v>660.375</v>
      </c>
      <c r="W173" s="341">
        <f t="shared" si="44"/>
        <v>16.569023484544363</v>
      </c>
      <c r="X173" s="374"/>
    </row>
    <row r="174" spans="1:24">
      <c r="A174" s="30"/>
      <c r="B174" s="380" t="s">
        <v>213</v>
      </c>
      <c r="C174" s="363">
        <f>15828+500</f>
        <v>16328</v>
      </c>
      <c r="D174" s="35">
        <v>16400</v>
      </c>
      <c r="E174" s="190">
        <v>2008</v>
      </c>
      <c r="F174" s="190">
        <v>2008</v>
      </c>
      <c r="G174" s="190">
        <f t="shared" si="34"/>
        <v>0</v>
      </c>
      <c r="H174" s="194">
        <f t="shared" si="35"/>
        <v>7</v>
      </c>
      <c r="I174" s="190">
        <v>1500</v>
      </c>
      <c r="J174" s="233">
        <f t="shared" si="36"/>
        <v>41.208791208791212</v>
      </c>
      <c r="K174" s="233">
        <v>40</v>
      </c>
      <c r="L174" s="233">
        <f t="shared" si="37"/>
        <v>33</v>
      </c>
      <c r="M174" s="189">
        <v>0.15</v>
      </c>
      <c r="N174" s="66">
        <f t="shared" si="38"/>
        <v>2449.1999999999998</v>
      </c>
      <c r="O174" s="66">
        <f t="shared" si="39"/>
        <v>9388.6</v>
      </c>
      <c r="P174" s="359">
        <f>(22.75/6.25)*$V$141</f>
        <v>36.4</v>
      </c>
      <c r="Q174" s="350">
        <f t="shared" si="40"/>
        <v>13878.8</v>
      </c>
      <c r="R174" s="66">
        <f t="shared" si="22"/>
        <v>346.96999999999997</v>
      </c>
      <c r="S174" s="66">
        <f t="shared" si="41"/>
        <v>469.43000000000006</v>
      </c>
      <c r="T174" s="206">
        <f t="shared" si="42"/>
        <v>93.88600000000001</v>
      </c>
      <c r="U174" s="389"/>
      <c r="V174" s="350">
        <f t="shared" si="43"/>
        <v>910.28600000000006</v>
      </c>
      <c r="W174" s="341">
        <f t="shared" si="44"/>
        <v>25.007857142857144</v>
      </c>
      <c r="X174" s="374"/>
    </row>
    <row r="175" spans="1:24">
      <c r="A175" s="30"/>
      <c r="B175" s="380" t="s">
        <v>228</v>
      </c>
      <c r="C175" s="363">
        <f>4100+3120</f>
        <v>7220</v>
      </c>
      <c r="D175" s="35">
        <v>7300</v>
      </c>
      <c r="E175" s="190">
        <v>2005</v>
      </c>
      <c r="F175" s="190">
        <v>1960</v>
      </c>
      <c r="G175" s="190">
        <f t="shared" si="34"/>
        <v>45</v>
      </c>
      <c r="H175" s="194">
        <f t="shared" si="35"/>
        <v>55</v>
      </c>
      <c r="I175" s="194">
        <v>5000</v>
      </c>
      <c r="J175" s="233">
        <f t="shared" si="36"/>
        <v>205.45693622616699</v>
      </c>
      <c r="K175" s="233">
        <v>60</v>
      </c>
      <c r="L175" s="233">
        <f t="shared" si="37"/>
        <v>5</v>
      </c>
      <c r="M175" s="189">
        <v>0.15</v>
      </c>
      <c r="N175" s="66">
        <f t="shared" si="38"/>
        <v>1083</v>
      </c>
      <c r="O175" s="66">
        <f t="shared" si="39"/>
        <v>4151.5</v>
      </c>
      <c r="P175" s="359">
        <f>(15.21/6.25)*$V$141</f>
        <v>24.336000000000002</v>
      </c>
      <c r="Q175" s="350">
        <f t="shared" si="40"/>
        <v>6137</v>
      </c>
      <c r="R175" s="66">
        <f t="shared" si="22"/>
        <v>102.28333333333333</v>
      </c>
      <c r="S175" s="66">
        <f t="shared" si="41"/>
        <v>207.57500000000002</v>
      </c>
      <c r="T175" s="206">
        <f t="shared" si="42"/>
        <v>41.515000000000001</v>
      </c>
      <c r="U175" s="389"/>
      <c r="V175" s="350">
        <f t="shared" si="43"/>
        <v>351.37333333333333</v>
      </c>
      <c r="W175" s="341">
        <f t="shared" si="44"/>
        <v>14.438417707648476</v>
      </c>
      <c r="X175" s="374"/>
    </row>
    <row r="176" spans="1:24">
      <c r="A176" s="30"/>
      <c r="B176" s="380" t="s">
        <v>30</v>
      </c>
      <c r="C176" s="363">
        <v>8641</v>
      </c>
      <c r="D176" s="35">
        <v>8700</v>
      </c>
      <c r="E176" s="190">
        <v>2014</v>
      </c>
      <c r="F176" s="190">
        <v>2014</v>
      </c>
      <c r="G176" s="190">
        <f t="shared" si="34"/>
        <v>0</v>
      </c>
      <c r="H176" s="194">
        <f t="shared" si="35"/>
        <v>1</v>
      </c>
      <c r="I176" s="194">
        <v>2000</v>
      </c>
      <c r="J176" s="233">
        <f t="shared" si="36"/>
        <v>79.365079365079367</v>
      </c>
      <c r="K176" s="233">
        <v>50</v>
      </c>
      <c r="L176" s="233">
        <f t="shared" si="37"/>
        <v>49</v>
      </c>
      <c r="M176" s="189">
        <v>0.25</v>
      </c>
      <c r="N176" s="66">
        <f t="shared" si="38"/>
        <v>2160.25</v>
      </c>
      <c r="O176" s="66">
        <f t="shared" si="39"/>
        <v>5400.625</v>
      </c>
      <c r="P176" s="359">
        <f>(15.75/6.25)*$V$141</f>
        <v>25.2</v>
      </c>
      <c r="Q176" s="350">
        <f t="shared" si="40"/>
        <v>6480.75</v>
      </c>
      <c r="R176" s="66">
        <f t="shared" si="22"/>
        <v>129.61500000000001</v>
      </c>
      <c r="S176" s="66">
        <f t="shared" si="41"/>
        <v>270.03125</v>
      </c>
      <c r="T176" s="206">
        <f t="shared" si="42"/>
        <v>54.006250000000001</v>
      </c>
      <c r="U176" s="389"/>
      <c r="V176" s="350">
        <f t="shared" si="43"/>
        <v>453.65250000000003</v>
      </c>
      <c r="W176" s="341">
        <f t="shared" si="44"/>
        <v>18.002083333333335</v>
      </c>
      <c r="X176" s="374"/>
    </row>
    <row r="177" spans="1:39">
      <c r="A177" s="30"/>
      <c r="B177" s="380"/>
      <c r="C177" s="363"/>
      <c r="D177" s="35"/>
      <c r="E177" s="190"/>
      <c r="F177" s="190"/>
      <c r="G177" s="190"/>
      <c r="H177" s="194"/>
      <c r="I177" s="194"/>
      <c r="J177" s="233"/>
      <c r="K177" s="233"/>
      <c r="L177" s="64"/>
      <c r="M177" s="189"/>
      <c r="N177" s="66"/>
      <c r="O177" s="66"/>
      <c r="P177" s="359"/>
      <c r="Q177" s="350"/>
      <c r="R177" s="66"/>
      <c r="S177" s="66"/>
      <c r="T177" s="206"/>
      <c r="U177" s="389"/>
      <c r="V177" s="350"/>
      <c r="W177" s="341"/>
      <c r="X177" s="374"/>
    </row>
    <row r="178" spans="1:39" s="30" customFormat="1">
      <c r="B178" s="381" t="s">
        <v>240</v>
      </c>
      <c r="C178" s="358"/>
      <c r="D178" s="39"/>
      <c r="E178" s="194"/>
      <c r="F178" s="194"/>
      <c r="G178" s="194"/>
      <c r="H178" s="194"/>
      <c r="I178" s="194"/>
      <c r="J178" s="140"/>
      <c r="K178" s="140"/>
      <c r="L178" s="65"/>
      <c r="M178" s="186"/>
      <c r="N178" s="67"/>
      <c r="O178" s="67"/>
      <c r="P178" s="359"/>
      <c r="Q178" s="352"/>
      <c r="R178" s="66"/>
      <c r="S178" s="67"/>
      <c r="T178" s="1104"/>
      <c r="U178" s="389"/>
      <c r="V178" s="352"/>
      <c r="W178" s="409"/>
      <c r="X178" s="373"/>
    </row>
    <row r="179" spans="1:39" s="30" customFormat="1">
      <c r="B179" s="378" t="s">
        <v>35</v>
      </c>
      <c r="C179" s="358">
        <v>1500</v>
      </c>
      <c r="D179" s="39">
        <v>1600</v>
      </c>
      <c r="E179" s="194">
        <v>2014</v>
      </c>
      <c r="F179" s="194">
        <v>2014</v>
      </c>
      <c r="G179" s="194">
        <f>E179-F179</f>
        <v>0</v>
      </c>
      <c r="H179" s="194">
        <f>2015-F179</f>
        <v>1</v>
      </c>
      <c r="I179" s="194">
        <v>2000</v>
      </c>
      <c r="J179" s="140">
        <f>I179/P179</f>
        <v>283.4467120181406</v>
      </c>
      <c r="K179" s="140">
        <v>50</v>
      </c>
      <c r="L179" s="140">
        <f>K179-H179</f>
        <v>49</v>
      </c>
      <c r="M179" s="186">
        <v>0.25</v>
      </c>
      <c r="N179" s="67">
        <f>C179*M179</f>
        <v>375</v>
      </c>
      <c r="O179" s="67">
        <f>(C179+N179)/2</f>
        <v>937.5</v>
      </c>
      <c r="P179" s="359">
        <f>(4.41/6.25)*$V$141</f>
        <v>7.056</v>
      </c>
      <c r="Q179" s="352">
        <f>C179-N179</f>
        <v>1125</v>
      </c>
      <c r="R179" s="66">
        <f t="shared" si="22"/>
        <v>22.5</v>
      </c>
      <c r="S179" s="67">
        <f>0.05*O179</f>
        <v>46.875</v>
      </c>
      <c r="T179" s="1104">
        <f>0.01*O179</f>
        <v>9.375</v>
      </c>
      <c r="U179" s="389"/>
      <c r="V179" s="352">
        <f>SUM(R179:T179)</f>
        <v>78.75</v>
      </c>
      <c r="W179" s="409">
        <f>V179/P179</f>
        <v>11.160714285714286</v>
      </c>
      <c r="X179" s="373"/>
    </row>
    <row r="180" spans="1:39" s="11" customFormat="1">
      <c r="A180" s="81"/>
      <c r="B180" s="378" t="s">
        <v>36</v>
      </c>
      <c r="C180" s="358">
        <v>4700</v>
      </c>
      <c r="D180" s="39">
        <v>5500</v>
      </c>
      <c r="E180" s="190">
        <v>2010</v>
      </c>
      <c r="F180" s="190">
        <v>2010</v>
      </c>
      <c r="G180" s="190">
        <f>E180-F180</f>
        <v>0</v>
      </c>
      <c r="H180" s="194">
        <f>2015-F180</f>
        <v>5</v>
      </c>
      <c r="I180" s="190">
        <v>2000</v>
      </c>
      <c r="J180" s="233">
        <f>I180/P180</f>
        <v>714.28571428571422</v>
      </c>
      <c r="K180" s="233">
        <v>50</v>
      </c>
      <c r="L180" s="233">
        <f>K180-H180</f>
        <v>45</v>
      </c>
      <c r="M180" s="189">
        <v>0.2</v>
      </c>
      <c r="N180" s="66">
        <f>C180*M180</f>
        <v>940</v>
      </c>
      <c r="O180" s="66">
        <f>(C180+N180)/2</f>
        <v>2820</v>
      </c>
      <c r="P180" s="359">
        <f>(1.75/6.25)*$V$141</f>
        <v>2.8000000000000003</v>
      </c>
      <c r="Q180" s="350">
        <f>C180-N180</f>
        <v>3760</v>
      </c>
      <c r="R180" s="66">
        <f t="shared" si="22"/>
        <v>75.2</v>
      </c>
      <c r="S180" s="66">
        <f>0.05*O180</f>
        <v>141</v>
      </c>
      <c r="T180" s="206">
        <f>0.01*O180</f>
        <v>28.2</v>
      </c>
      <c r="U180" s="389"/>
      <c r="V180" s="350">
        <f>SUM(R180:T180)</f>
        <v>244.39999999999998</v>
      </c>
      <c r="W180" s="341">
        <f>V180/P180</f>
        <v>87.285714285714263</v>
      </c>
      <c r="X180" s="374"/>
    </row>
    <row r="181" spans="1:39">
      <c r="A181" s="30"/>
      <c r="B181" s="380" t="s">
        <v>205</v>
      </c>
      <c r="C181" s="363"/>
      <c r="D181" s="35"/>
      <c r="E181" s="190"/>
      <c r="F181" s="190"/>
      <c r="G181" s="190"/>
      <c r="H181" s="194"/>
      <c r="I181" s="190"/>
      <c r="J181" s="233"/>
      <c r="K181" s="233"/>
      <c r="L181" s="64"/>
      <c r="M181" s="189"/>
      <c r="N181" s="66"/>
      <c r="O181" s="66"/>
      <c r="P181" s="359"/>
      <c r="Q181" s="350"/>
      <c r="R181" s="66"/>
      <c r="S181" s="66"/>
      <c r="T181" s="206"/>
      <c r="U181" s="389"/>
      <c r="V181" s="350"/>
      <c r="W181" s="341"/>
      <c r="X181" s="374"/>
    </row>
    <row r="182" spans="1:39">
      <c r="A182" s="30"/>
      <c r="B182" s="379" t="s">
        <v>239</v>
      </c>
      <c r="C182" s="363"/>
      <c r="D182" s="35"/>
      <c r="E182" s="190"/>
      <c r="F182" s="190"/>
      <c r="G182" s="190"/>
      <c r="H182" s="194"/>
      <c r="I182" s="190"/>
      <c r="J182" s="233"/>
      <c r="K182" s="233"/>
      <c r="L182" s="64"/>
      <c r="M182" s="189"/>
      <c r="N182" s="66"/>
      <c r="O182" s="66"/>
      <c r="P182" s="359"/>
      <c r="Q182" s="350"/>
      <c r="R182" s="66"/>
      <c r="S182" s="66"/>
      <c r="T182" s="206"/>
      <c r="U182" s="389"/>
      <c r="V182" s="350"/>
      <c r="W182" s="341"/>
      <c r="X182" s="374"/>
    </row>
    <row r="183" spans="1:39">
      <c r="A183" s="30"/>
      <c r="B183" s="378" t="s">
        <v>208</v>
      </c>
      <c r="C183" s="358">
        <v>4680</v>
      </c>
      <c r="D183" s="39">
        <v>5000</v>
      </c>
      <c r="E183" s="190">
        <v>2009</v>
      </c>
      <c r="F183" s="190">
        <v>2009</v>
      </c>
      <c r="G183" s="190">
        <f>E183-F183</f>
        <v>0</v>
      </c>
      <c r="H183" s="194">
        <f>2015-F183</f>
        <v>6</v>
      </c>
      <c r="I183" s="190">
        <v>1500</v>
      </c>
      <c r="J183" s="233">
        <f>I183/P183</f>
        <v>34.555842241061555</v>
      </c>
      <c r="K183" s="233">
        <v>30</v>
      </c>
      <c r="L183" s="233">
        <f>K183-H183</f>
        <v>24</v>
      </c>
      <c r="M183" s="189">
        <v>0.25</v>
      </c>
      <c r="N183" s="66">
        <f>C183*M183</f>
        <v>1170</v>
      </c>
      <c r="O183" s="66">
        <f>(C183+N183)/2</f>
        <v>2925</v>
      </c>
      <c r="P183" s="359">
        <f>(27.13/6.25)*$V$141</f>
        <v>43.408000000000001</v>
      </c>
      <c r="Q183" s="350">
        <f>C183-N183</f>
        <v>3510</v>
      </c>
      <c r="R183" s="66">
        <f t="shared" si="22"/>
        <v>117</v>
      </c>
      <c r="S183" s="66">
        <f>0.05*O183</f>
        <v>146.25</v>
      </c>
      <c r="T183" s="206">
        <f>0.01*O183</f>
        <v>29.25</v>
      </c>
      <c r="U183" s="389"/>
      <c r="V183" s="350">
        <f>SUM(R183:T183)</f>
        <v>292.5</v>
      </c>
      <c r="W183" s="341">
        <f>V183/P183</f>
        <v>6.7383892370070031</v>
      </c>
      <c r="X183" s="374"/>
    </row>
    <row r="184" spans="1:39">
      <c r="A184" s="30"/>
      <c r="B184" s="378" t="s">
        <v>33</v>
      </c>
      <c r="C184" s="358">
        <v>1400</v>
      </c>
      <c r="D184" s="39">
        <v>1500</v>
      </c>
      <c r="E184" s="190">
        <v>2004</v>
      </c>
      <c r="F184" s="190">
        <v>2004</v>
      </c>
      <c r="G184" s="190">
        <f>E184-F184</f>
        <v>0</v>
      </c>
      <c r="H184" s="194">
        <f>2015-F184</f>
        <v>11</v>
      </c>
      <c r="I184" s="190">
        <v>1500</v>
      </c>
      <c r="J184" s="233">
        <f>I184/P184</f>
        <v>109.01162790697676</v>
      </c>
      <c r="K184" s="233">
        <v>30</v>
      </c>
      <c r="L184" s="233">
        <f>K184-H184</f>
        <v>19</v>
      </c>
      <c r="M184" s="189">
        <v>0.25</v>
      </c>
      <c r="N184" s="66">
        <f>C184*M184</f>
        <v>350</v>
      </c>
      <c r="O184" s="66">
        <f>(C184+N184)/2</f>
        <v>875</v>
      </c>
      <c r="P184" s="359">
        <f>(8.6/6.25)*$V$141</f>
        <v>13.759999999999998</v>
      </c>
      <c r="Q184" s="350">
        <f>C184-N184</f>
        <v>1050</v>
      </c>
      <c r="R184" s="66">
        <f t="shared" si="22"/>
        <v>35</v>
      </c>
      <c r="S184" s="66">
        <f>0.05*O184</f>
        <v>43.75</v>
      </c>
      <c r="T184" s="206">
        <f>0.01*O184</f>
        <v>8.75</v>
      </c>
      <c r="U184" s="389"/>
      <c r="V184" s="350">
        <f>SUM(R184:T184)</f>
        <v>87.5</v>
      </c>
      <c r="W184" s="341">
        <f>V184/P184</f>
        <v>6.3590116279069777</v>
      </c>
      <c r="X184" s="374"/>
    </row>
    <row r="185" spans="1:39">
      <c r="A185" s="30"/>
      <c r="B185" s="378"/>
      <c r="C185" s="358"/>
      <c r="D185" s="39"/>
      <c r="E185" s="190"/>
      <c r="F185" s="190"/>
      <c r="G185" s="190"/>
      <c r="H185" s="194"/>
      <c r="I185" s="190"/>
      <c r="J185" s="233"/>
      <c r="K185" s="233"/>
      <c r="L185" s="64"/>
      <c r="M185" s="189"/>
      <c r="N185" s="66"/>
      <c r="O185" s="66"/>
      <c r="P185" s="359"/>
      <c r="Q185" s="350"/>
      <c r="R185" s="66"/>
      <c r="S185" s="66"/>
      <c r="T185" s="206"/>
      <c r="U185" s="389"/>
      <c r="V185" s="350"/>
      <c r="W185" s="341"/>
      <c r="X185" s="374"/>
    </row>
    <row r="186" spans="1:39">
      <c r="A186" s="30"/>
      <c r="B186" s="381" t="s">
        <v>160</v>
      </c>
      <c r="C186" s="358"/>
      <c r="D186" s="39"/>
      <c r="E186" s="190"/>
      <c r="F186" s="190"/>
      <c r="G186" s="190"/>
      <c r="H186" s="194"/>
      <c r="I186" s="190"/>
      <c r="J186" s="233"/>
      <c r="K186" s="233"/>
      <c r="L186" s="64"/>
      <c r="M186" s="189"/>
      <c r="N186" s="66"/>
      <c r="O186" s="66"/>
      <c r="P186" s="359"/>
      <c r="Q186" s="350"/>
      <c r="R186" s="66"/>
      <c r="S186" s="66"/>
      <c r="T186" s="206"/>
      <c r="U186" s="389"/>
      <c r="V186" s="350"/>
      <c r="W186" s="341"/>
      <c r="X186" s="374"/>
    </row>
    <row r="187" spans="1:39">
      <c r="A187" s="30"/>
      <c r="B187" s="380" t="s">
        <v>57</v>
      </c>
      <c r="C187" s="363">
        <v>3000</v>
      </c>
      <c r="D187" s="35">
        <v>3100</v>
      </c>
      <c r="E187" s="190">
        <v>2015</v>
      </c>
      <c r="F187" s="190">
        <v>2015</v>
      </c>
      <c r="G187" s="190">
        <f>E187-F187</f>
        <v>0</v>
      </c>
      <c r="H187" s="194">
        <v>0.5</v>
      </c>
      <c r="I187" s="190">
        <v>3000</v>
      </c>
      <c r="J187" s="233">
        <f>I187/P187</f>
        <v>21.30681818181818</v>
      </c>
      <c r="K187" s="233">
        <v>25</v>
      </c>
      <c r="L187" s="233">
        <f>K187-H187</f>
        <v>24.5</v>
      </c>
      <c r="M187" s="189">
        <v>0.1</v>
      </c>
      <c r="N187" s="66">
        <f>C187*M187</f>
        <v>300</v>
      </c>
      <c r="O187" s="66">
        <f>(C187+N187)/2</f>
        <v>1650</v>
      </c>
      <c r="P187" s="359">
        <f>((22*4)/6.25)*$V$141</f>
        <v>140.80000000000001</v>
      </c>
      <c r="Q187" s="350">
        <f>C187-N187</f>
        <v>2700</v>
      </c>
      <c r="R187" s="66">
        <f t="shared" si="22"/>
        <v>108</v>
      </c>
      <c r="S187" s="66">
        <f>0.05*O187</f>
        <v>82.5</v>
      </c>
      <c r="T187" s="206">
        <f>0.01*O187</f>
        <v>16.5</v>
      </c>
      <c r="U187" s="389"/>
      <c r="V187" s="350">
        <f>SUM(R187:T187)</f>
        <v>207</v>
      </c>
      <c r="W187" s="341">
        <f>V187/P187</f>
        <v>1.4701704545454544</v>
      </c>
      <c r="X187" s="374"/>
    </row>
    <row r="188" spans="1:39" s="30" customFormat="1">
      <c r="B188" s="378" t="s">
        <v>227</v>
      </c>
      <c r="C188" s="358">
        <f>2200+150</f>
        <v>2350</v>
      </c>
      <c r="D188" s="39">
        <v>2400</v>
      </c>
      <c r="E188" s="194">
        <v>2015</v>
      </c>
      <c r="F188" s="194">
        <v>2015</v>
      </c>
      <c r="G188" s="194">
        <f>E188-F188</f>
        <v>0</v>
      </c>
      <c r="H188" s="194">
        <v>0.5</v>
      </c>
      <c r="I188" s="194">
        <v>1500</v>
      </c>
      <c r="J188" s="140">
        <f>I188/P188</f>
        <v>37.5</v>
      </c>
      <c r="K188" s="140">
        <v>30</v>
      </c>
      <c r="L188" s="140">
        <f>K188-H188</f>
        <v>29.5</v>
      </c>
      <c r="M188" s="186">
        <v>0.1</v>
      </c>
      <c r="N188" s="67">
        <f>C188*M188</f>
        <v>235</v>
      </c>
      <c r="O188" s="67">
        <f>(C188+N188)/2</f>
        <v>1292.5</v>
      </c>
      <c r="P188" s="359">
        <f>(25/6.25)*$V$141</f>
        <v>40</v>
      </c>
      <c r="Q188" s="352">
        <f>C188-N188</f>
        <v>2115</v>
      </c>
      <c r="R188" s="66">
        <f t="shared" si="22"/>
        <v>70.5</v>
      </c>
      <c r="S188" s="67">
        <f>0.05*O188</f>
        <v>64.625</v>
      </c>
      <c r="T188" s="1104">
        <f>0.01*O188</f>
        <v>12.925000000000001</v>
      </c>
      <c r="U188" s="389"/>
      <c r="V188" s="352">
        <f>SUM(R188:T188)</f>
        <v>148.05000000000001</v>
      </c>
      <c r="W188" s="409">
        <f>V188/P188</f>
        <v>3.7012500000000004</v>
      </c>
      <c r="X188" s="373"/>
    </row>
    <row r="189" spans="1:39" s="30" customFormat="1" ht="16" thickBot="1">
      <c r="B189" s="382" t="s">
        <v>34</v>
      </c>
      <c r="C189" s="365">
        <v>20000</v>
      </c>
      <c r="D189" s="342">
        <v>40000</v>
      </c>
      <c r="E189" s="343">
        <v>2015</v>
      </c>
      <c r="F189" s="343">
        <v>2000</v>
      </c>
      <c r="G189" s="343">
        <f>E189-F189</f>
        <v>15</v>
      </c>
      <c r="H189" s="343">
        <f>2015-F189</f>
        <v>15</v>
      </c>
      <c r="I189" s="343">
        <v>1200</v>
      </c>
      <c r="J189" s="141">
        <f>I189/P189</f>
        <v>125</v>
      </c>
      <c r="K189" s="141">
        <v>40</v>
      </c>
      <c r="L189" s="141">
        <f>K189-H189</f>
        <v>25</v>
      </c>
      <c r="M189" s="1101">
        <v>0.3</v>
      </c>
      <c r="N189" s="345">
        <f>C189*M189</f>
        <v>6000</v>
      </c>
      <c r="O189" s="345">
        <f>(C189+N189)/2</f>
        <v>13000</v>
      </c>
      <c r="P189" s="366">
        <f>(6/6.25)*$V$141</f>
        <v>9.6</v>
      </c>
      <c r="Q189" s="1116">
        <f>C189-N189</f>
        <v>14000</v>
      </c>
      <c r="R189" s="1259">
        <f t="shared" si="22"/>
        <v>350</v>
      </c>
      <c r="S189" s="345">
        <f>0.05*O189</f>
        <v>650</v>
      </c>
      <c r="T189" s="1117">
        <f>0.01*O189</f>
        <v>130</v>
      </c>
      <c r="U189" s="392"/>
      <c r="V189" s="1116">
        <f>SUM(R189:T189)</f>
        <v>1130</v>
      </c>
      <c r="W189" s="1113">
        <f>V189/P189</f>
        <v>117.70833333333334</v>
      </c>
      <c r="X189" s="373"/>
    </row>
    <row r="190" spans="1:39" s="81" customFormat="1">
      <c r="B190" s="38"/>
      <c r="C190" s="39"/>
      <c r="D190" s="39"/>
      <c r="E190" s="194"/>
      <c r="F190" s="194"/>
      <c r="G190" s="194"/>
      <c r="H190" s="194"/>
      <c r="I190" s="194"/>
      <c r="J190" s="140"/>
      <c r="K190" s="140"/>
      <c r="L190" s="65"/>
      <c r="M190" s="186"/>
      <c r="N190" s="67"/>
      <c r="O190" s="67"/>
      <c r="P190" s="323"/>
      <c r="Q190" s="67"/>
      <c r="R190" s="67"/>
      <c r="S190" s="67"/>
      <c r="T190" s="67"/>
      <c r="U190" s="65"/>
      <c r="V190" s="67"/>
      <c r="W190" s="331"/>
      <c r="X190" s="373"/>
    </row>
    <row r="191" spans="1:39">
      <c r="A191" s="30"/>
      <c r="B191" s="170"/>
      <c r="C191" s="11"/>
      <c r="D191" s="167"/>
      <c r="E191" s="167"/>
      <c r="F191" s="167"/>
      <c r="G191" s="190"/>
      <c r="H191" s="190"/>
      <c r="I191" s="189"/>
      <c r="J191" s="66"/>
      <c r="K191" s="66"/>
      <c r="L191" s="66"/>
      <c r="M191" s="66"/>
      <c r="N191" s="233"/>
      <c r="O191" s="65"/>
      <c r="P191" s="65"/>
      <c r="Q191" s="65"/>
      <c r="R191" s="66"/>
      <c r="S191" s="66"/>
      <c r="T191" s="66"/>
      <c r="U191" s="66"/>
      <c r="V191" s="66"/>
      <c r="W191" s="66"/>
      <c r="X191" s="66"/>
      <c r="Y191" s="66"/>
    </row>
    <row r="192" spans="1:39">
      <c r="A192" s="30"/>
      <c r="B192" s="545" t="s">
        <v>480</v>
      </c>
      <c r="C192" s="11"/>
      <c r="D192" s="167"/>
      <c r="E192" s="167"/>
      <c r="F192" s="167"/>
      <c r="G192" s="190"/>
      <c r="H192" s="190"/>
      <c r="I192" s="189"/>
      <c r="J192" s="66"/>
      <c r="K192" s="66"/>
      <c r="L192" s="66"/>
      <c r="M192" s="66"/>
      <c r="N192" s="233"/>
      <c r="O192" s="65"/>
      <c r="P192" s="65"/>
      <c r="Q192" s="65"/>
      <c r="R192" s="66"/>
      <c r="S192" s="66"/>
      <c r="T192" s="66"/>
      <c r="U192" s="66"/>
      <c r="V192" s="66"/>
      <c r="W192" s="66"/>
      <c r="X192" s="66"/>
      <c r="Y192" s="66"/>
      <c r="Z192" s="189"/>
      <c r="AA192" s="232"/>
      <c r="AB192" s="235"/>
      <c r="AC192" s="67"/>
      <c r="AD192" s="67"/>
      <c r="AE192" s="67"/>
      <c r="AF192" s="67"/>
      <c r="AG192" s="65"/>
      <c r="AH192" s="67"/>
      <c r="AI192" s="80"/>
      <c r="AJ192" s="31"/>
      <c r="AK192" s="32"/>
      <c r="AL192" s="32"/>
      <c r="AM192" s="32"/>
    </row>
    <row r="193" spans="1:38">
      <c r="A193" s="30"/>
      <c r="B193" s="38" t="s">
        <v>17</v>
      </c>
      <c r="C193" s="166" t="s">
        <v>466</v>
      </c>
      <c r="D193" s="167"/>
      <c r="E193" s="167"/>
      <c r="F193" s="167"/>
      <c r="G193" s="190"/>
      <c r="H193" s="190"/>
      <c r="I193" s="189"/>
      <c r="J193" s="66"/>
      <c r="K193" s="66"/>
      <c r="L193" s="66"/>
      <c r="M193" s="66"/>
      <c r="N193" s="65"/>
      <c r="O193" s="65"/>
      <c r="P193" s="65"/>
      <c r="Q193" s="66"/>
      <c r="R193" s="66"/>
      <c r="S193" s="66"/>
      <c r="T193" s="66"/>
      <c r="U193" s="66"/>
      <c r="V193" s="66"/>
      <c r="W193" s="66"/>
      <c r="X193" s="66"/>
      <c r="Y193" s="189"/>
      <c r="Z193" s="66"/>
      <c r="AA193" s="235"/>
      <c r="AB193" s="234"/>
      <c r="AC193" s="67"/>
      <c r="AD193" s="67"/>
      <c r="AE193" s="67"/>
      <c r="AF193" s="65"/>
      <c r="AG193" s="67"/>
      <c r="AH193" s="80"/>
      <c r="AI193" s="31"/>
      <c r="AJ193" s="32"/>
      <c r="AK193" s="32"/>
      <c r="AL193" s="32"/>
    </row>
    <row r="194" spans="1:38">
      <c r="A194" s="30"/>
      <c r="B194" s="38" t="s">
        <v>468</v>
      </c>
      <c r="C194" s="166" t="s">
        <v>469</v>
      </c>
      <c r="D194" s="167"/>
      <c r="E194" s="167"/>
      <c r="F194" s="167"/>
      <c r="G194" s="190"/>
      <c r="H194" s="190"/>
      <c r="I194" s="189"/>
      <c r="J194" s="66"/>
      <c r="K194" s="66"/>
      <c r="L194" s="66"/>
      <c r="M194" s="66"/>
      <c r="N194" s="65"/>
      <c r="O194" s="65"/>
      <c r="P194" s="65"/>
      <c r="Q194" s="66"/>
      <c r="R194" s="66"/>
      <c r="S194" s="66"/>
      <c r="T194" s="66"/>
      <c r="U194" s="66"/>
      <c r="V194" s="66"/>
      <c r="W194" s="66"/>
      <c r="X194" s="66"/>
      <c r="Y194" s="189"/>
      <c r="Z194" s="66"/>
      <c r="AA194" s="235"/>
      <c r="AB194" s="234"/>
      <c r="AC194" s="67"/>
      <c r="AD194" s="67"/>
      <c r="AE194" s="67"/>
      <c r="AF194" s="65"/>
      <c r="AG194" s="67"/>
      <c r="AH194" s="80"/>
      <c r="AI194" s="31"/>
      <c r="AJ194" s="32"/>
      <c r="AK194" s="32"/>
      <c r="AL194" s="32"/>
    </row>
    <row r="195" spans="1:38">
      <c r="A195" s="30"/>
      <c r="B195" s="38" t="s">
        <v>15</v>
      </c>
      <c r="C195" s="166" t="s">
        <v>467</v>
      </c>
      <c r="D195" s="167"/>
      <c r="E195" s="167"/>
      <c r="F195" s="167"/>
      <c r="G195" s="190"/>
      <c r="H195" s="190"/>
      <c r="I195" s="189"/>
      <c r="J195" s="66"/>
      <c r="K195" s="66"/>
      <c r="L195" s="66"/>
      <c r="M195" s="66"/>
      <c r="N195" s="65"/>
      <c r="O195" s="65"/>
      <c r="P195" s="65"/>
      <c r="Q195" s="66"/>
      <c r="R195" s="66"/>
      <c r="S195" s="66"/>
      <c r="T195" s="66"/>
      <c r="U195" s="66"/>
      <c r="V195" s="66"/>
      <c r="W195" s="66"/>
      <c r="X195" s="66"/>
      <c r="Y195" s="189"/>
      <c r="Z195" s="66"/>
      <c r="AA195" s="235"/>
      <c r="AB195" s="234"/>
      <c r="AC195" s="67"/>
      <c r="AD195" s="67"/>
      <c r="AE195" s="67"/>
      <c r="AF195" s="65"/>
      <c r="AG195" s="67"/>
      <c r="AH195" s="80"/>
      <c r="AI195" s="31"/>
      <c r="AJ195" s="32"/>
      <c r="AK195" s="32"/>
      <c r="AL195" s="32"/>
    </row>
    <row r="196" spans="1:38">
      <c r="A196" s="30"/>
      <c r="B196" s="38" t="s">
        <v>16</v>
      </c>
      <c r="C196" s="166" t="s">
        <v>470</v>
      </c>
      <c r="D196" s="167"/>
      <c r="E196" s="167"/>
      <c r="F196" s="167"/>
      <c r="G196" s="190"/>
      <c r="H196" s="190"/>
      <c r="I196" s="189"/>
      <c r="J196" s="66"/>
      <c r="K196" s="66"/>
      <c r="L196" s="66"/>
      <c r="M196" s="66"/>
      <c r="N196" s="65"/>
      <c r="O196" s="65"/>
      <c r="P196" s="65"/>
      <c r="Q196" s="66"/>
      <c r="R196" s="66"/>
      <c r="S196" s="66"/>
      <c r="T196" s="66"/>
      <c r="U196" s="66"/>
      <c r="V196" s="66"/>
      <c r="W196" s="66"/>
      <c r="X196" s="66"/>
      <c r="Y196" s="189"/>
      <c r="Z196" s="66"/>
      <c r="AA196" s="235"/>
      <c r="AB196" s="234"/>
      <c r="AC196" s="67"/>
      <c r="AD196" s="67"/>
      <c r="AE196" s="67"/>
      <c r="AF196" s="65"/>
      <c r="AG196" s="67"/>
      <c r="AH196" s="80"/>
      <c r="AI196" s="31"/>
      <c r="AJ196" s="32"/>
      <c r="AK196" s="32"/>
      <c r="AL196" s="32"/>
    </row>
    <row r="197" spans="1:38">
      <c r="A197" s="30"/>
      <c r="B197" s="38" t="s">
        <v>523</v>
      </c>
      <c r="C197" s="166" t="s">
        <v>478</v>
      </c>
      <c r="D197" s="167"/>
      <c r="E197" s="167"/>
      <c r="F197" s="167"/>
      <c r="G197" s="190"/>
      <c r="H197" s="190"/>
      <c r="I197" s="189"/>
      <c r="J197" s="66"/>
      <c r="K197" s="66"/>
      <c r="L197" s="66"/>
      <c r="M197" s="66"/>
      <c r="N197" s="65"/>
      <c r="O197" s="65"/>
      <c r="P197" s="65"/>
      <c r="Q197" s="66"/>
      <c r="R197" s="66"/>
      <c r="S197" s="66"/>
      <c r="T197" s="66"/>
      <c r="U197" s="66"/>
      <c r="V197" s="66"/>
      <c r="W197" s="66"/>
      <c r="X197" s="66"/>
      <c r="Y197" s="189"/>
      <c r="Z197" s="66"/>
      <c r="AA197" s="235"/>
      <c r="AB197" s="234"/>
      <c r="AC197" s="67"/>
      <c r="AD197" s="67"/>
      <c r="AE197" s="67"/>
      <c r="AF197" s="65"/>
      <c r="AG197" s="67"/>
      <c r="AH197" s="80"/>
      <c r="AI197" s="31"/>
      <c r="AJ197" s="32"/>
      <c r="AK197" s="32"/>
      <c r="AL197" s="32"/>
    </row>
    <row r="198" spans="1:38">
      <c r="A198" s="30"/>
      <c r="B198" s="38" t="s">
        <v>314</v>
      </c>
      <c r="C198" s="168" t="s">
        <v>479</v>
      </c>
      <c r="D198" s="167"/>
      <c r="E198" s="167"/>
      <c r="F198" s="167"/>
      <c r="G198" s="190"/>
      <c r="H198" s="190"/>
      <c r="I198" s="189"/>
      <c r="J198" s="66"/>
      <c r="K198" s="66"/>
      <c r="L198" s="66"/>
      <c r="M198" s="66"/>
      <c r="N198" s="65"/>
      <c r="O198" s="65"/>
      <c r="P198" s="65"/>
      <c r="Q198" s="66"/>
      <c r="R198" s="66"/>
      <c r="S198" s="66"/>
      <c r="T198" s="66"/>
      <c r="U198" s="66"/>
      <c r="V198" s="66"/>
      <c r="W198" s="66"/>
      <c r="X198" s="66"/>
      <c r="Y198" s="189"/>
      <c r="Z198" s="66"/>
      <c r="AA198" s="235"/>
      <c r="AB198" s="234"/>
      <c r="AC198" s="67"/>
      <c r="AD198" s="67"/>
      <c r="AE198" s="67"/>
      <c r="AF198" s="65"/>
      <c r="AG198" s="67"/>
      <c r="AH198" s="80"/>
      <c r="AI198" s="31"/>
      <c r="AJ198" s="32"/>
      <c r="AK198" s="32"/>
      <c r="AL198" s="32"/>
    </row>
    <row r="199" spans="1:38">
      <c r="B199" s="38" t="str">
        <f>I143</f>
        <v xml:space="preserve">Useful Life Machine Hours </v>
      </c>
      <c r="C199" s="1085" t="s">
        <v>913</v>
      </c>
      <c r="D199" s="167"/>
      <c r="E199" s="167"/>
      <c r="F199" s="167"/>
      <c r="G199" s="190"/>
      <c r="H199" s="190"/>
      <c r="I199" s="189"/>
      <c r="J199" s="66"/>
      <c r="K199" s="66"/>
      <c r="L199" s="66"/>
      <c r="M199" s="66"/>
      <c r="N199" s="65"/>
      <c r="O199" s="65"/>
      <c r="P199" s="65"/>
      <c r="Q199" s="66"/>
      <c r="R199" s="66"/>
      <c r="S199" s="66"/>
      <c r="T199" s="66"/>
      <c r="U199" s="66"/>
      <c r="V199" s="66"/>
      <c r="W199" s="66"/>
      <c r="X199" s="66"/>
      <c r="Y199" s="189"/>
      <c r="Z199" s="66"/>
      <c r="AA199" s="235"/>
      <c r="AB199" s="234"/>
      <c r="AC199" s="67"/>
      <c r="AD199" s="67"/>
      <c r="AE199" s="67"/>
      <c r="AF199" s="65"/>
      <c r="AG199" s="67"/>
      <c r="AH199" s="80"/>
      <c r="AI199" s="31"/>
      <c r="AJ199" s="32"/>
      <c r="AK199" s="32"/>
      <c r="AL199" s="32"/>
    </row>
    <row r="200" spans="1:38">
      <c r="B200" s="38" t="str">
        <f>J143</f>
        <v>Useful Life (yrs)</v>
      </c>
      <c r="C200" s="166" t="s">
        <v>486</v>
      </c>
      <c r="D200" s="167"/>
      <c r="E200" s="167"/>
      <c r="F200" s="167"/>
      <c r="G200" s="190"/>
      <c r="H200" s="190"/>
      <c r="I200" s="189"/>
      <c r="J200" s="66"/>
      <c r="K200" s="66"/>
      <c r="L200" s="66"/>
      <c r="M200" s="66"/>
      <c r="N200" s="65"/>
      <c r="O200" s="65"/>
      <c r="P200" s="65"/>
      <c r="Q200" s="66"/>
      <c r="R200" s="66"/>
      <c r="S200" s="66"/>
      <c r="T200" s="66"/>
      <c r="U200" s="66"/>
      <c r="V200" s="66"/>
      <c r="W200" s="66"/>
      <c r="X200" s="66"/>
      <c r="Y200" s="189"/>
      <c r="Z200" s="66"/>
      <c r="AA200" s="235"/>
      <c r="AB200" s="234"/>
      <c r="AC200" s="67"/>
      <c r="AD200" s="67"/>
      <c r="AE200" s="67"/>
      <c r="AF200" s="65"/>
      <c r="AG200" s="67"/>
      <c r="AH200" s="80"/>
      <c r="AI200" s="31"/>
      <c r="AJ200" s="32"/>
      <c r="AK200" s="32"/>
      <c r="AL200" s="32"/>
    </row>
    <row r="201" spans="1:38">
      <c r="B201" s="38" t="str">
        <f>K143</f>
        <v>Adjusted Useful Economic Life (yrs)</v>
      </c>
      <c r="C201" s="166" t="s">
        <v>487</v>
      </c>
      <c r="D201" s="167"/>
      <c r="E201" s="167"/>
      <c r="F201" s="167"/>
      <c r="G201" s="190"/>
      <c r="H201" s="190"/>
      <c r="I201" s="189"/>
      <c r="J201" s="66"/>
      <c r="K201" s="66"/>
      <c r="L201" s="66"/>
      <c r="M201" s="66"/>
      <c r="N201" s="65"/>
      <c r="O201" s="65"/>
      <c r="P201" s="65"/>
      <c r="Q201" s="66"/>
      <c r="R201" s="66"/>
      <c r="S201" s="66"/>
      <c r="T201" s="66"/>
      <c r="U201" s="66"/>
      <c r="V201" s="66"/>
      <c r="W201" s="66"/>
      <c r="X201" s="66"/>
      <c r="Y201" s="189"/>
      <c r="Z201" s="66"/>
      <c r="AA201" s="235"/>
      <c r="AB201" s="234"/>
      <c r="AC201" s="67"/>
      <c r="AD201" s="67"/>
      <c r="AE201" s="67"/>
      <c r="AF201" s="65"/>
      <c r="AG201" s="67"/>
      <c r="AH201" s="80"/>
      <c r="AI201" s="31"/>
      <c r="AJ201" s="32"/>
      <c r="AK201" s="32"/>
      <c r="AL201" s="32"/>
    </row>
    <row r="202" spans="1:38">
      <c r="B202" s="38" t="str">
        <f>L143</f>
        <v xml:space="preserve">Years of Ownership Remaining </v>
      </c>
      <c r="C202" s="166" t="s">
        <v>488</v>
      </c>
      <c r="D202" s="167"/>
      <c r="E202" s="167"/>
      <c r="F202" s="167"/>
      <c r="G202" s="190"/>
      <c r="H202" s="190"/>
      <c r="I202" s="189"/>
      <c r="J202" s="66"/>
      <c r="K202" s="66"/>
      <c r="L202" s="66"/>
      <c r="M202" s="66"/>
      <c r="N202" s="65"/>
      <c r="O202" s="65"/>
      <c r="P202" s="65"/>
      <c r="Q202" s="66"/>
      <c r="R202" s="66"/>
      <c r="S202" s="66"/>
      <c r="T202" s="66"/>
      <c r="U202" s="66"/>
      <c r="V202" s="66"/>
      <c r="W202" s="66"/>
      <c r="X202" s="66"/>
      <c r="Y202" s="189"/>
      <c r="Z202" s="66"/>
      <c r="AA202" s="235"/>
      <c r="AB202" s="234"/>
      <c r="AC202" s="67"/>
      <c r="AD202" s="67"/>
      <c r="AE202" s="67"/>
      <c r="AF202" s="65"/>
      <c r="AG202" s="67"/>
      <c r="AH202" s="80"/>
      <c r="AI202" s="31"/>
      <c r="AJ202" s="32"/>
      <c r="AK202" s="32"/>
      <c r="AL202" s="32"/>
    </row>
    <row r="203" spans="1:38">
      <c r="B203" s="38" t="s">
        <v>245</v>
      </c>
      <c r="C203" s="166" t="s">
        <v>489</v>
      </c>
      <c r="D203" s="167"/>
      <c r="E203" s="167"/>
      <c r="F203" s="167"/>
      <c r="G203" s="190"/>
      <c r="H203" s="190"/>
      <c r="I203" s="189"/>
      <c r="J203" s="66"/>
      <c r="K203" s="66"/>
      <c r="L203" s="66"/>
      <c r="M203" s="66"/>
      <c r="N203" s="65"/>
      <c r="O203" s="65"/>
      <c r="P203" s="65"/>
      <c r="Q203" s="66"/>
      <c r="R203" s="66"/>
      <c r="S203" s="66"/>
      <c r="T203" s="66"/>
      <c r="U203" s="66"/>
      <c r="V203" s="66"/>
      <c r="W203" s="66"/>
      <c r="X203" s="66"/>
      <c r="Y203" s="189"/>
      <c r="Z203" s="66"/>
      <c r="AA203" s="235"/>
      <c r="AB203" s="234"/>
      <c r="AC203" s="67"/>
      <c r="AD203" s="67"/>
      <c r="AE203" s="67"/>
      <c r="AF203" s="65"/>
      <c r="AG203" s="67"/>
      <c r="AH203" s="80"/>
      <c r="AI203" s="31"/>
      <c r="AJ203" s="32"/>
      <c r="AK203" s="32"/>
      <c r="AL203" s="32"/>
    </row>
    <row r="204" spans="1:38">
      <c r="B204" s="38" t="s">
        <v>18</v>
      </c>
      <c r="C204" s="166" t="s">
        <v>471</v>
      </c>
      <c r="D204" s="167"/>
      <c r="E204" s="167"/>
      <c r="F204" s="167"/>
      <c r="G204" s="190"/>
      <c r="H204" s="190"/>
      <c r="I204" s="189"/>
      <c r="J204" s="66"/>
      <c r="K204" s="66"/>
      <c r="L204" s="66"/>
      <c r="M204" s="66"/>
      <c r="N204" s="65"/>
      <c r="O204" s="65"/>
      <c r="P204" s="65"/>
      <c r="Q204" s="66"/>
      <c r="R204" s="66"/>
      <c r="S204" s="66"/>
      <c r="T204" s="66"/>
      <c r="U204" s="66"/>
      <c r="V204" s="66"/>
      <c r="W204" s="66"/>
      <c r="X204" s="66"/>
      <c r="Y204" s="189"/>
      <c r="Z204" s="66"/>
      <c r="AA204" s="235"/>
      <c r="AB204" s="234"/>
      <c r="AC204" s="67"/>
      <c r="AD204" s="67"/>
      <c r="AE204" s="67"/>
      <c r="AF204" s="65"/>
      <c r="AG204" s="67"/>
      <c r="AH204" s="80"/>
      <c r="AI204" s="31"/>
      <c r="AJ204" s="32"/>
      <c r="AK204" s="32"/>
      <c r="AL204" s="32"/>
    </row>
    <row r="205" spans="1:38">
      <c r="B205" s="38" t="s">
        <v>19</v>
      </c>
      <c r="C205" s="166" t="s">
        <v>472</v>
      </c>
      <c r="D205" s="167"/>
      <c r="E205" s="167"/>
      <c r="F205" s="167"/>
      <c r="G205" s="190"/>
      <c r="H205" s="190"/>
      <c r="I205" s="189"/>
      <c r="J205" s="66"/>
      <c r="K205" s="66"/>
      <c r="L205" s="66"/>
      <c r="M205" s="66"/>
      <c r="N205" s="65"/>
      <c r="O205" s="65"/>
      <c r="P205" s="65"/>
      <c r="Q205" s="66"/>
      <c r="R205" s="66"/>
      <c r="S205" s="66"/>
      <c r="T205" s="66"/>
      <c r="U205" s="66"/>
      <c r="V205" s="66"/>
      <c r="W205" s="66"/>
      <c r="X205" s="66"/>
      <c r="Y205" s="189"/>
      <c r="Z205" s="66"/>
      <c r="AA205" s="235"/>
      <c r="AB205" s="234"/>
      <c r="AC205" s="67"/>
      <c r="AD205" s="67"/>
      <c r="AE205" s="67"/>
      <c r="AF205" s="65"/>
      <c r="AG205" s="67"/>
      <c r="AH205" s="80"/>
      <c r="AI205" s="31"/>
      <c r="AJ205" s="32"/>
      <c r="AK205" s="32"/>
      <c r="AL205" s="32"/>
    </row>
    <row r="206" spans="1:38">
      <c r="B206" s="38" t="str">
        <f>P143</f>
        <v>Annual Use (hrs)</v>
      </c>
      <c r="C206" s="886" t="s">
        <v>695</v>
      </c>
      <c r="D206" s="167"/>
      <c r="E206" s="167"/>
      <c r="F206" s="167"/>
      <c r="G206" s="190"/>
      <c r="H206" s="190"/>
      <c r="I206" s="189"/>
      <c r="J206" s="66"/>
      <c r="K206" s="66"/>
      <c r="L206" s="66"/>
      <c r="M206" s="66"/>
      <c r="N206" s="65"/>
      <c r="O206" s="65"/>
      <c r="P206" s="65"/>
      <c r="Q206" s="66"/>
      <c r="R206" s="66"/>
      <c r="S206" s="66"/>
      <c r="T206" s="66"/>
      <c r="U206" s="66"/>
      <c r="V206" s="66"/>
      <c r="W206" s="66"/>
      <c r="X206" s="66"/>
      <c r="Y206" s="189"/>
      <c r="Z206" s="66"/>
      <c r="AA206" s="235"/>
      <c r="AB206" s="234"/>
      <c r="AC206" s="67"/>
      <c r="AD206" s="67"/>
      <c r="AE206" s="67"/>
      <c r="AF206" s="65"/>
      <c r="AG206" s="67"/>
      <c r="AH206" s="80"/>
      <c r="AI206" s="31"/>
      <c r="AJ206" s="32"/>
      <c r="AK206" s="32"/>
      <c r="AL206" s="32"/>
    </row>
    <row r="207" spans="1:38">
      <c r="B207" s="38"/>
      <c r="C207" s="166"/>
      <c r="D207" s="167"/>
      <c r="E207" s="167"/>
      <c r="F207" s="167"/>
      <c r="G207" s="190"/>
      <c r="H207" s="190"/>
      <c r="I207" s="189"/>
      <c r="J207" s="66"/>
      <c r="K207" s="66"/>
      <c r="L207" s="66"/>
      <c r="M207" s="66"/>
      <c r="N207" s="65"/>
      <c r="O207" s="65"/>
      <c r="P207" s="65"/>
      <c r="Q207" s="66"/>
      <c r="R207" s="66"/>
      <c r="S207" s="66"/>
      <c r="T207" s="66"/>
      <c r="U207" s="66"/>
      <c r="V207" s="66"/>
      <c r="W207" s="66"/>
      <c r="X207" s="66"/>
      <c r="Y207" s="189"/>
      <c r="Z207" s="66"/>
      <c r="AA207" s="235"/>
      <c r="AB207" s="234"/>
      <c r="AC207" s="67"/>
      <c r="AD207" s="67"/>
      <c r="AE207" s="67"/>
      <c r="AF207" s="65"/>
      <c r="AG207" s="67"/>
      <c r="AH207" s="80"/>
      <c r="AI207" s="31"/>
      <c r="AJ207" s="32"/>
      <c r="AK207" s="32"/>
      <c r="AL207" s="32"/>
    </row>
    <row r="208" spans="1:38">
      <c r="B208" s="545" t="s">
        <v>481</v>
      </c>
      <c r="C208" s="166"/>
      <c r="D208" s="167"/>
      <c r="E208" s="167"/>
      <c r="F208" s="167"/>
      <c r="G208" s="190"/>
      <c r="H208" s="190"/>
      <c r="I208" s="189"/>
      <c r="J208" s="66"/>
      <c r="K208" s="66"/>
      <c r="L208" s="66"/>
      <c r="M208" s="66"/>
      <c r="N208" s="65"/>
      <c r="O208" s="65"/>
      <c r="P208" s="65"/>
      <c r="Q208" s="66"/>
      <c r="R208" s="66"/>
      <c r="S208" s="66"/>
      <c r="T208" s="66"/>
      <c r="U208" s="66"/>
      <c r="V208" s="66"/>
      <c r="W208" s="66"/>
      <c r="X208" s="66"/>
      <c r="Y208" s="189"/>
      <c r="Z208" s="66"/>
      <c r="AA208" s="235"/>
      <c r="AB208" s="234"/>
      <c r="AC208" s="67"/>
      <c r="AD208" s="67"/>
      <c r="AE208" s="67"/>
      <c r="AF208" s="65"/>
      <c r="AG208" s="67"/>
      <c r="AH208" s="80"/>
      <c r="AI208" s="31"/>
      <c r="AJ208" s="32"/>
      <c r="AK208" s="32"/>
      <c r="AL208" s="32"/>
    </row>
    <row r="209" spans="2:42">
      <c r="B209" s="152" t="str">
        <f>Q90</f>
        <v>Repair Factor 1</v>
      </c>
      <c r="C209" s="166" t="s">
        <v>532</v>
      </c>
      <c r="D209" s="167"/>
      <c r="E209" s="167"/>
      <c r="F209" s="167"/>
      <c r="G209" s="190"/>
      <c r="H209" s="190"/>
      <c r="I209" s="189"/>
      <c r="J209" s="66"/>
      <c r="K209" s="66"/>
      <c r="L209" s="66"/>
      <c r="M209" s="66"/>
      <c r="N209" s="65"/>
      <c r="O209" s="65"/>
      <c r="P209" s="65"/>
      <c r="Q209" s="66"/>
      <c r="R209" s="66"/>
      <c r="S209" s="66"/>
      <c r="T209" s="66"/>
      <c r="U209" s="66"/>
      <c r="V209" s="66"/>
      <c r="W209" s="66"/>
      <c r="X209" s="66"/>
      <c r="Y209" s="189"/>
      <c r="Z209" s="66"/>
      <c r="AA209" s="235"/>
      <c r="AB209" s="234"/>
      <c r="AC209" s="67"/>
      <c r="AD209" s="67"/>
      <c r="AE209" s="67"/>
      <c r="AF209" s="65"/>
      <c r="AG209" s="67"/>
      <c r="AH209" s="80"/>
      <c r="AI209" s="31"/>
      <c r="AJ209" s="32"/>
      <c r="AK209" s="32"/>
      <c r="AL209" s="32"/>
    </row>
    <row r="210" spans="2:42">
      <c r="B210" s="152" t="str">
        <f>R90</f>
        <v>Repair Factor 2</v>
      </c>
      <c r="C210" s="166" t="s">
        <v>532</v>
      </c>
      <c r="D210" s="167"/>
      <c r="E210" s="167"/>
      <c r="F210" s="167"/>
      <c r="G210" s="190"/>
      <c r="H210" s="190"/>
      <c r="I210" s="189"/>
      <c r="J210" s="66"/>
      <c r="K210" s="66"/>
      <c r="L210" s="66"/>
      <c r="M210" s="66"/>
      <c r="N210" s="65"/>
      <c r="O210" s="65"/>
      <c r="P210" s="65"/>
      <c r="Q210" s="66"/>
      <c r="R210" s="66"/>
      <c r="S210" s="66"/>
      <c r="T210" s="66"/>
      <c r="U210" s="66"/>
      <c r="V210" s="66"/>
      <c r="W210" s="66"/>
      <c r="X210" s="66"/>
      <c r="Y210" s="189"/>
      <c r="Z210" s="66"/>
      <c r="AA210" s="235"/>
      <c r="AB210" s="234"/>
      <c r="AC210" s="67"/>
      <c r="AD210" s="67"/>
      <c r="AE210" s="67"/>
      <c r="AF210" s="65"/>
      <c r="AG210" s="67"/>
      <c r="AH210" s="80"/>
      <c r="AI210" s="31"/>
      <c r="AJ210" s="32"/>
      <c r="AK210" s="32"/>
      <c r="AL210" s="32"/>
    </row>
    <row r="211" spans="2:42">
      <c r="B211" s="152" t="str">
        <f>S90</f>
        <v>Annual Repairs using 2 Repair Factor Approach</v>
      </c>
      <c r="C211" s="166" t="s">
        <v>496</v>
      </c>
      <c r="D211" s="167"/>
      <c r="E211" s="167"/>
      <c r="F211" s="167"/>
      <c r="G211" s="190"/>
      <c r="H211" s="190"/>
      <c r="I211" s="189"/>
      <c r="J211" s="66"/>
      <c r="K211" s="66"/>
      <c r="L211" s="66"/>
      <c r="M211" s="66"/>
      <c r="N211" s="65"/>
      <c r="O211" s="65"/>
      <c r="P211" s="65"/>
      <c r="Q211" s="66"/>
      <c r="R211" s="66"/>
      <c r="S211" s="66"/>
      <c r="T211" s="66"/>
      <c r="U211" s="66"/>
      <c r="V211" s="66"/>
      <c r="W211" s="66"/>
      <c r="X211" s="66"/>
      <c r="Y211" s="189"/>
      <c r="Z211" s="66"/>
      <c r="AA211" s="235"/>
      <c r="AB211" s="234"/>
      <c r="AC211" s="67"/>
      <c r="AD211" s="67"/>
      <c r="AE211" s="67"/>
      <c r="AF211" s="65"/>
      <c r="AG211" s="67"/>
      <c r="AH211" s="80"/>
      <c r="AI211" s="31"/>
      <c r="AJ211" s="32"/>
      <c r="AK211" s="32"/>
      <c r="AL211" s="32"/>
    </row>
    <row r="212" spans="2:42">
      <c r="B212" s="67" t="s">
        <v>256</v>
      </c>
      <c r="C212" s="38" t="s">
        <v>495</v>
      </c>
      <c r="D212" s="65"/>
      <c r="E212" s="65"/>
      <c r="F212" s="65"/>
      <c r="G212" s="65"/>
      <c r="H212" s="65"/>
      <c r="I212" s="65"/>
      <c r="J212" s="65"/>
      <c r="K212" s="65"/>
      <c r="L212" s="65"/>
      <c r="M212" s="67"/>
      <c r="N212" s="67"/>
      <c r="O212" s="67"/>
      <c r="P212" s="67"/>
      <c r="Q212" s="67"/>
      <c r="R212" s="67"/>
      <c r="S212" s="65"/>
      <c r="T212" s="186"/>
      <c r="U212" s="67"/>
      <c r="V212" s="39"/>
      <c r="W212" s="67"/>
      <c r="X212" s="67"/>
      <c r="Y212" s="67"/>
      <c r="Z212" s="67"/>
      <c r="AA212" s="234"/>
      <c r="AB212" s="234"/>
      <c r="AC212" s="67"/>
      <c r="AD212" s="67"/>
      <c r="AE212" s="65"/>
      <c r="AF212" s="65"/>
      <c r="AG212" s="65"/>
      <c r="AH212" s="11"/>
    </row>
    <row r="213" spans="2:42">
      <c r="B213" s="67" t="s">
        <v>257</v>
      </c>
      <c r="C213" s="38" t="s">
        <v>494</v>
      </c>
      <c r="D213" s="65"/>
      <c r="E213" s="65"/>
      <c r="F213" s="65"/>
      <c r="G213" s="65"/>
      <c r="H213" s="65"/>
      <c r="I213" s="65"/>
      <c r="J213" s="65"/>
      <c r="K213" s="65"/>
      <c r="L213" s="66"/>
      <c r="M213" s="67"/>
      <c r="N213" s="67"/>
      <c r="O213" s="67"/>
      <c r="P213" s="67"/>
      <c r="Q213" s="67"/>
      <c r="R213" s="67"/>
      <c r="S213" s="65"/>
      <c r="T213" s="186"/>
      <c r="U213" s="67"/>
      <c r="V213" s="39"/>
      <c r="W213" s="67"/>
      <c r="X213" s="67"/>
      <c r="Y213" s="67"/>
      <c r="Z213" s="67"/>
      <c r="AA213" s="234"/>
      <c r="AB213" s="234"/>
      <c r="AC213" s="67"/>
      <c r="AD213" s="67"/>
      <c r="AE213" s="65"/>
      <c r="AF213" s="65"/>
      <c r="AG213" s="65"/>
      <c r="AH213" s="11"/>
    </row>
    <row r="214" spans="2:42">
      <c r="B214" s="67" t="s">
        <v>254</v>
      </c>
      <c r="C214" s="38" t="s">
        <v>476</v>
      </c>
      <c r="D214" s="64"/>
      <c r="E214" s="64"/>
      <c r="F214" s="64"/>
      <c r="G214" s="64"/>
      <c r="H214" s="64"/>
      <c r="I214" s="64"/>
      <c r="J214" s="65"/>
      <c r="K214" s="65"/>
      <c r="L214" s="65"/>
      <c r="M214" s="66"/>
      <c r="N214" s="66"/>
      <c r="O214" s="66"/>
      <c r="P214" s="66"/>
      <c r="Q214" s="66"/>
      <c r="R214" s="66"/>
      <c r="S214" s="65"/>
      <c r="T214" s="189"/>
      <c r="U214" s="66"/>
      <c r="V214" s="35"/>
      <c r="W214" s="66"/>
      <c r="X214" s="66"/>
      <c r="Y214" s="66"/>
      <c r="Z214" s="66"/>
      <c r="AA214" s="232"/>
      <c r="AB214" s="234"/>
      <c r="AC214" s="66"/>
      <c r="AD214" s="66"/>
      <c r="AE214" s="64"/>
      <c r="AF214" s="64"/>
      <c r="AG214" s="64"/>
      <c r="AH214" s="11"/>
    </row>
    <row r="215" spans="2:42">
      <c r="B215" s="67" t="s">
        <v>255</v>
      </c>
      <c r="C215" s="195" t="s">
        <v>477</v>
      </c>
      <c r="D215" s="64"/>
      <c r="E215" s="64"/>
      <c r="F215" s="64"/>
      <c r="G215" s="64"/>
      <c r="H215" s="64"/>
      <c r="I215" s="64"/>
      <c r="J215" s="65"/>
      <c r="K215" s="65"/>
      <c r="L215" s="65"/>
      <c r="M215" s="66"/>
      <c r="N215" s="66"/>
      <c r="O215" s="66"/>
      <c r="P215" s="66"/>
      <c r="Q215" s="66"/>
      <c r="R215" s="66"/>
      <c r="S215" s="65"/>
      <c r="T215" s="189"/>
      <c r="U215" s="66"/>
      <c r="V215" s="35"/>
      <c r="W215" s="66"/>
      <c r="X215" s="66"/>
      <c r="Y215" s="66"/>
      <c r="Z215" s="66"/>
      <c r="AA215" s="232"/>
      <c r="AB215" s="234"/>
      <c r="AC215" s="66"/>
      <c r="AD215" s="66"/>
      <c r="AE215" s="64"/>
      <c r="AF215" s="64"/>
      <c r="AG215" s="64"/>
      <c r="AH215" s="11"/>
    </row>
    <row r="216" spans="2:42">
      <c r="B216" s="545"/>
      <c r="C216" s="166"/>
      <c r="D216" s="167"/>
      <c r="E216" s="167"/>
      <c r="F216" s="167"/>
      <c r="G216" s="190"/>
      <c r="H216" s="190"/>
      <c r="I216" s="189"/>
      <c r="J216" s="66"/>
      <c r="K216" s="66"/>
      <c r="L216" s="66"/>
      <c r="M216" s="66"/>
      <c r="N216" s="65"/>
      <c r="O216" s="65"/>
      <c r="P216" s="65"/>
      <c r="Q216" s="66"/>
      <c r="R216" s="66"/>
      <c r="S216" s="66"/>
      <c r="T216" s="66"/>
      <c r="U216" s="66"/>
      <c r="V216" s="66"/>
      <c r="W216" s="66"/>
      <c r="X216" s="66"/>
      <c r="Y216" s="189"/>
      <c r="Z216" s="66"/>
      <c r="AA216" s="235"/>
      <c r="AB216" s="234"/>
      <c r="AC216" s="67"/>
      <c r="AD216" s="67"/>
      <c r="AE216" s="67"/>
      <c r="AF216" s="65"/>
      <c r="AG216" s="67"/>
      <c r="AH216" s="80"/>
      <c r="AI216" s="31"/>
      <c r="AJ216" s="32"/>
      <c r="AK216" s="32"/>
      <c r="AL216" s="32"/>
    </row>
    <row r="217" spans="2:42">
      <c r="B217" s="545" t="s">
        <v>482</v>
      </c>
      <c r="C217" s="166"/>
      <c r="D217" s="167"/>
      <c r="E217" s="167"/>
      <c r="F217" s="167"/>
      <c r="G217" s="190"/>
      <c r="H217" s="190"/>
      <c r="I217" s="189"/>
      <c r="J217" s="66"/>
      <c r="K217" s="66"/>
      <c r="L217" s="66"/>
      <c r="M217" s="66"/>
      <c r="N217" s="65"/>
      <c r="O217" s="65"/>
      <c r="P217" s="65"/>
      <c r="Q217" s="66"/>
      <c r="R217" s="66"/>
      <c r="S217" s="66"/>
      <c r="T217" s="66"/>
      <c r="U217" s="66"/>
      <c r="V217" s="66"/>
      <c r="W217" s="66"/>
      <c r="X217" s="66"/>
      <c r="Y217" s="189"/>
      <c r="Z217" s="66"/>
      <c r="AA217" s="235"/>
      <c r="AB217" s="234"/>
      <c r="AC217" s="67"/>
      <c r="AD217" s="67"/>
      <c r="AE217" s="67"/>
      <c r="AF217" s="65"/>
      <c r="AG217" s="67"/>
      <c r="AH217" s="80"/>
      <c r="AI217" s="31"/>
      <c r="AJ217" s="32"/>
      <c r="AK217" s="32"/>
      <c r="AL217" s="32"/>
    </row>
    <row r="218" spans="2:42">
      <c r="B218" s="38" t="s">
        <v>21</v>
      </c>
      <c r="C218" s="166" t="s">
        <v>473</v>
      </c>
      <c r="D218" s="39"/>
      <c r="E218" s="39"/>
      <c r="F218" s="39"/>
      <c r="G218" s="190"/>
      <c r="H218" s="190"/>
      <c r="I218" s="189"/>
      <c r="J218" s="66"/>
      <c r="K218" s="66"/>
      <c r="L218" s="66"/>
      <c r="M218" s="66"/>
      <c r="N218" s="65"/>
      <c r="O218" s="65"/>
      <c r="P218" s="65"/>
      <c r="Q218" s="66"/>
      <c r="R218" s="66"/>
      <c r="S218" s="66"/>
      <c r="T218" s="66"/>
      <c r="U218" s="66"/>
      <c r="V218" s="66"/>
      <c r="W218" s="66"/>
      <c r="X218" s="66"/>
      <c r="Y218" s="189"/>
      <c r="Z218" s="66"/>
      <c r="AA218" s="235"/>
      <c r="AB218" s="234"/>
      <c r="AC218" s="67"/>
      <c r="AD218" s="67"/>
      <c r="AE218" s="67"/>
      <c r="AF218" s="65"/>
      <c r="AG218" s="67"/>
      <c r="AH218" s="80"/>
      <c r="AI218" s="31"/>
      <c r="AJ218" s="32"/>
      <c r="AK218" s="32"/>
      <c r="AL218" s="32"/>
    </row>
    <row r="219" spans="2:42">
      <c r="B219" s="38" t="s">
        <v>22</v>
      </c>
      <c r="C219" s="1258" t="s">
        <v>936</v>
      </c>
      <c r="D219" s="194"/>
      <c r="E219" s="194"/>
      <c r="F219" s="194"/>
      <c r="G219" s="194"/>
      <c r="H219" s="194"/>
      <c r="I219" s="194"/>
      <c r="J219" s="194"/>
      <c r="K219" s="194"/>
      <c r="L219" s="194"/>
      <c r="M219" s="39"/>
      <c r="N219" s="194"/>
      <c r="O219" s="186"/>
      <c r="P219" s="67"/>
      <c r="Q219" s="65"/>
      <c r="R219" s="65"/>
      <c r="S219" s="65"/>
      <c r="T219" s="65"/>
      <c r="U219" s="65"/>
      <c r="V219" s="67"/>
      <c r="W219" s="67"/>
      <c r="X219" s="67"/>
      <c r="Y219" s="67"/>
      <c r="Z219" s="67"/>
      <c r="AA219" s="234"/>
      <c r="AB219" s="234"/>
      <c r="AC219" s="186"/>
      <c r="AD219" s="67"/>
      <c r="AE219" s="39"/>
      <c r="AF219" s="67"/>
      <c r="AG219" s="67"/>
      <c r="AH219" s="67"/>
      <c r="AI219" s="37"/>
      <c r="AJ219" s="37"/>
      <c r="AK219" s="41"/>
      <c r="AL219" s="37"/>
      <c r="AM219" s="67"/>
      <c r="AN219" s="41"/>
      <c r="AO219" s="41"/>
      <c r="AP219" s="41"/>
    </row>
    <row r="220" spans="2:42">
      <c r="B220" s="38" t="s">
        <v>23</v>
      </c>
      <c r="C220" s="38" t="s">
        <v>492</v>
      </c>
      <c r="D220" s="194"/>
      <c r="E220" s="194"/>
      <c r="F220" s="194"/>
      <c r="G220" s="194"/>
      <c r="H220" s="194"/>
      <c r="I220" s="194"/>
      <c r="J220" s="194"/>
      <c r="K220" s="194"/>
      <c r="L220" s="194"/>
      <c r="M220" s="39"/>
      <c r="N220" s="194"/>
      <c r="O220" s="186"/>
      <c r="P220" s="67"/>
      <c r="Q220" s="65"/>
      <c r="R220" s="65"/>
      <c r="S220" s="65"/>
      <c r="T220" s="65"/>
      <c r="U220" s="65"/>
      <c r="V220" s="67"/>
      <c r="W220" s="67"/>
      <c r="X220" s="67"/>
      <c r="Y220" s="67"/>
      <c r="Z220" s="67"/>
      <c r="AA220" s="234"/>
      <c r="AB220" s="234"/>
      <c r="AC220" s="186"/>
      <c r="AD220" s="67"/>
      <c r="AE220" s="39"/>
      <c r="AF220" s="67"/>
      <c r="AG220" s="67"/>
      <c r="AH220" s="67"/>
      <c r="AI220" s="37"/>
      <c r="AJ220" s="37"/>
      <c r="AK220" s="41"/>
      <c r="AL220" s="37"/>
      <c r="AM220" s="67"/>
      <c r="AN220" s="41"/>
      <c r="AO220" s="41"/>
      <c r="AP220" s="41"/>
    </row>
    <row r="221" spans="2:42">
      <c r="B221" s="38" t="s">
        <v>246</v>
      </c>
      <c r="C221" s="38" t="s">
        <v>493</v>
      </c>
      <c r="D221" s="65"/>
      <c r="E221" s="65"/>
      <c r="F221" s="65"/>
      <c r="G221" s="65"/>
      <c r="H221" s="65"/>
      <c r="I221" s="65"/>
      <c r="J221" s="65"/>
      <c r="K221" s="65"/>
      <c r="L221" s="65"/>
      <c r="M221" s="67"/>
      <c r="N221" s="67"/>
      <c r="O221" s="67"/>
      <c r="P221" s="67"/>
      <c r="Q221" s="67"/>
      <c r="R221" s="67"/>
      <c r="S221" s="65"/>
      <c r="T221" s="186"/>
      <c r="U221" s="67"/>
      <c r="V221" s="39"/>
      <c r="W221" s="67"/>
      <c r="X221" s="67"/>
      <c r="Y221" s="67"/>
      <c r="Z221" s="67"/>
      <c r="AA221" s="234"/>
      <c r="AB221" s="234"/>
      <c r="AC221" s="67"/>
      <c r="AD221" s="65"/>
      <c r="AE221" s="65"/>
      <c r="AF221" s="65"/>
      <c r="AG221" s="81"/>
      <c r="AH221" s="11"/>
    </row>
    <row r="222" spans="2:42">
      <c r="B222" s="67" t="s">
        <v>252</v>
      </c>
      <c r="C222" s="38" t="s">
        <v>474</v>
      </c>
      <c r="D222" s="65"/>
      <c r="E222" s="65"/>
      <c r="F222" s="65"/>
      <c r="G222" s="65"/>
      <c r="H222" s="65"/>
      <c r="I222" s="65"/>
      <c r="J222" s="65"/>
      <c r="K222" s="65"/>
      <c r="L222" s="65"/>
      <c r="M222" s="67"/>
      <c r="N222" s="67"/>
      <c r="O222" s="67"/>
      <c r="P222" s="67"/>
      <c r="Q222" s="67"/>
      <c r="R222" s="67"/>
      <c r="S222" s="65"/>
      <c r="T222" s="186"/>
      <c r="U222" s="67"/>
      <c r="V222" s="39"/>
      <c r="W222" s="67"/>
      <c r="X222" s="67"/>
      <c r="Y222" s="67"/>
      <c r="Z222" s="67"/>
      <c r="AA222" s="234"/>
      <c r="AB222" s="234"/>
      <c r="AC222" s="67"/>
      <c r="AD222" s="67"/>
      <c r="AE222" s="65"/>
      <c r="AF222" s="65"/>
      <c r="AG222" s="65"/>
      <c r="AH222" s="11"/>
    </row>
    <row r="223" spans="2:42">
      <c r="B223" s="67" t="s">
        <v>253</v>
      </c>
      <c r="C223" s="38" t="s">
        <v>475</v>
      </c>
      <c r="D223" s="65"/>
      <c r="E223" s="65"/>
      <c r="F223" s="65"/>
      <c r="G223" s="65"/>
      <c r="H223" s="65"/>
      <c r="I223" s="65"/>
      <c r="J223" s="65"/>
      <c r="K223" s="65"/>
      <c r="L223" s="65"/>
      <c r="M223" s="67"/>
      <c r="N223" s="67"/>
      <c r="O223" s="67"/>
      <c r="P223" s="67"/>
      <c r="Q223" s="67"/>
      <c r="R223" s="67"/>
      <c r="S223" s="65"/>
      <c r="T223" s="186"/>
      <c r="U223" s="67"/>
      <c r="V223" s="39"/>
      <c r="W223" s="67"/>
      <c r="X223" s="67"/>
      <c r="Y223" s="67"/>
      <c r="Z223" s="67"/>
      <c r="AA223" s="234"/>
      <c r="AB223" s="234"/>
      <c r="AC223" s="67"/>
      <c r="AD223" s="67"/>
      <c r="AE223" s="65"/>
      <c r="AF223" s="65"/>
      <c r="AG223" s="65"/>
      <c r="AH223" s="11"/>
    </row>
    <row r="224" spans="2:42">
      <c r="B224" s="64"/>
      <c r="C224" s="34"/>
      <c r="D224" s="64"/>
      <c r="E224" s="64"/>
      <c r="F224" s="64"/>
      <c r="G224" s="64"/>
      <c r="H224" s="64"/>
      <c r="I224" s="64"/>
      <c r="J224" s="65"/>
      <c r="K224" s="65"/>
      <c r="L224" s="65"/>
      <c r="M224" s="66"/>
      <c r="N224" s="66"/>
      <c r="O224" s="66"/>
      <c r="P224" s="66"/>
      <c r="Q224" s="66"/>
      <c r="R224" s="66"/>
      <c r="S224" s="65"/>
      <c r="T224" s="189"/>
      <c r="U224" s="66"/>
      <c r="V224" s="35"/>
      <c r="W224" s="66"/>
      <c r="X224" s="66"/>
      <c r="Y224" s="66"/>
      <c r="Z224" s="66"/>
      <c r="AA224" s="232"/>
      <c r="AB224" s="234"/>
      <c r="AC224" s="66"/>
      <c r="AD224" s="66"/>
      <c r="AE224" s="64"/>
      <c r="AF224" s="64"/>
      <c r="AG224" s="64"/>
      <c r="AH224" s="11"/>
    </row>
    <row r="225" spans="2:39">
      <c r="B225" s="616" t="s">
        <v>491</v>
      </c>
      <c r="C225" s="34"/>
      <c r="D225" s="64"/>
      <c r="E225" s="64"/>
      <c r="F225" s="64"/>
      <c r="G225" s="64"/>
      <c r="H225" s="64"/>
      <c r="I225" s="64"/>
      <c r="J225" s="65"/>
      <c r="K225" s="65"/>
      <c r="L225" s="65"/>
      <c r="M225" s="66"/>
      <c r="N225" s="66"/>
      <c r="O225" s="66"/>
      <c r="P225" s="66"/>
      <c r="Q225" s="66"/>
      <c r="R225" s="66"/>
      <c r="S225" s="65"/>
      <c r="T225" s="189"/>
      <c r="U225" s="66"/>
      <c r="V225" s="35"/>
      <c r="W225" s="66"/>
      <c r="X225" s="66"/>
      <c r="Y225" s="66"/>
      <c r="Z225" s="66"/>
      <c r="AA225" s="232"/>
      <c r="AB225" s="234"/>
      <c r="AC225" s="66"/>
      <c r="AD225" s="66"/>
      <c r="AE225" s="64"/>
      <c r="AF225" s="64"/>
      <c r="AG225" s="64"/>
      <c r="AH225" s="11"/>
    </row>
    <row r="226" spans="2:39">
      <c r="B226" s="887" t="s">
        <v>490</v>
      </c>
      <c r="C226" s="34"/>
      <c r="D226" s="64"/>
      <c r="E226" s="64"/>
      <c r="F226" s="64"/>
      <c r="G226" s="64"/>
      <c r="H226" s="64"/>
      <c r="I226" s="64"/>
      <c r="J226" s="65"/>
      <c r="K226" s="65"/>
      <c r="L226" s="65"/>
      <c r="M226" s="66"/>
      <c r="N226" s="66"/>
      <c r="O226" s="66"/>
      <c r="P226" s="66"/>
      <c r="Q226" s="66"/>
      <c r="R226" s="66"/>
      <c r="S226" s="65"/>
      <c r="T226" s="189"/>
      <c r="U226" s="66"/>
      <c r="V226" s="35"/>
      <c r="W226" s="66"/>
      <c r="X226" s="66"/>
      <c r="Y226" s="66"/>
      <c r="Z226" s="66"/>
      <c r="AA226" s="232"/>
      <c r="AB226" s="234"/>
      <c r="AC226" s="66"/>
      <c r="AD226" s="66"/>
      <c r="AE226" s="64"/>
      <c r="AF226" s="64"/>
      <c r="AG226" s="64"/>
      <c r="AH226" s="11"/>
    </row>
    <row r="227" spans="2:39">
      <c r="B227" s="5" t="s">
        <v>485</v>
      </c>
      <c r="C227" s="169"/>
      <c r="D227" s="31"/>
      <c r="E227" s="31"/>
      <c r="F227" s="31"/>
      <c r="G227" s="31"/>
      <c r="H227" s="31"/>
      <c r="I227" s="31"/>
      <c r="J227" s="41"/>
      <c r="K227" s="41"/>
      <c r="L227" s="41"/>
      <c r="M227" s="33"/>
      <c r="N227" s="33"/>
      <c r="O227" s="33"/>
      <c r="P227" s="33"/>
      <c r="Q227" s="33"/>
      <c r="R227" s="33"/>
      <c r="S227" s="41"/>
      <c r="T227" s="149"/>
      <c r="U227" s="33"/>
      <c r="V227" s="40"/>
      <c r="W227" s="33"/>
      <c r="X227" s="33"/>
      <c r="Y227" s="33"/>
      <c r="Z227" s="33"/>
      <c r="AA227" s="33"/>
      <c r="AB227" s="41"/>
      <c r="AC227" s="33"/>
      <c r="AD227" s="33"/>
      <c r="AE227" s="31"/>
      <c r="AF227" s="31"/>
      <c r="AG227" s="31"/>
    </row>
    <row r="228" spans="2:39">
      <c r="B228" s="5"/>
      <c r="AM228" s="68"/>
    </row>
    <row r="229" spans="2:39">
      <c r="B229" s="1079" t="s">
        <v>696</v>
      </c>
      <c r="AM229" s="159"/>
    </row>
    <row r="230" spans="2:39">
      <c r="B230" s="455" t="s">
        <v>895</v>
      </c>
      <c r="AM230" s="36"/>
    </row>
    <row r="231" spans="2:39">
      <c r="B231" s="28"/>
      <c r="AM231" s="36"/>
    </row>
    <row r="232" spans="2:39">
      <c r="B232" s="5"/>
      <c r="AM232" s="36"/>
    </row>
    <row r="233" spans="2:39">
      <c r="B233" s="5"/>
      <c r="AM233" s="36"/>
    </row>
    <row r="234" spans="2:39">
      <c r="B234" s="5"/>
      <c r="AM234" s="36"/>
    </row>
    <row r="235" spans="2:39">
      <c r="B235" s="5"/>
      <c r="AM235" s="160"/>
    </row>
    <row r="236" spans="2:39">
      <c r="AM236" s="36"/>
    </row>
    <row r="237" spans="2:39">
      <c r="AM237" s="36"/>
    </row>
    <row r="238" spans="2:39">
      <c r="AM238" s="36"/>
    </row>
    <row r="239" spans="2:39">
      <c r="AM239" s="36"/>
    </row>
    <row r="240" spans="2:39">
      <c r="AM240" s="36"/>
    </row>
    <row r="241" spans="39:39">
      <c r="AM241" s="36"/>
    </row>
    <row r="242" spans="39:39">
      <c r="AM242" s="36"/>
    </row>
    <row r="243" spans="39:39">
      <c r="AM243" s="36"/>
    </row>
    <row r="244" spans="39:39">
      <c r="AM244" s="36"/>
    </row>
    <row r="245" spans="39:39">
      <c r="AM245" s="36"/>
    </row>
    <row r="246" spans="39:39">
      <c r="AM246" s="36"/>
    </row>
    <row r="247" spans="39:39">
      <c r="AM247" s="36"/>
    </row>
    <row r="248" spans="39:39">
      <c r="AM248" s="36"/>
    </row>
    <row r="249" spans="39:39">
      <c r="AM249" s="36"/>
    </row>
    <row r="250" spans="39:39">
      <c r="AM250" s="36"/>
    </row>
    <row r="251" spans="39:39">
      <c r="AM251" s="36"/>
    </row>
    <row r="252" spans="39:39">
      <c r="AM252" s="36"/>
    </row>
    <row r="253" spans="39:39">
      <c r="AM253" s="36"/>
    </row>
    <row r="254" spans="39:39">
      <c r="AM254" s="36"/>
    </row>
    <row r="255" spans="39:39">
      <c r="AM255" s="36"/>
    </row>
    <row r="256" spans="39:39">
      <c r="AM256" s="36"/>
    </row>
    <row r="257" spans="39:39">
      <c r="AM257" s="36"/>
    </row>
    <row r="258" spans="39:39">
      <c r="AM258" s="36"/>
    </row>
    <row r="259" spans="39:39">
      <c r="AM259" s="36"/>
    </row>
    <row r="260" spans="39:39">
      <c r="AM260" s="36"/>
    </row>
    <row r="261" spans="39:39">
      <c r="AM261" s="36"/>
    </row>
    <row r="262" spans="39:39">
      <c r="AM262" s="36"/>
    </row>
    <row r="263" spans="39:39">
      <c r="AM263" s="36"/>
    </row>
    <row r="264" spans="39:39">
      <c r="AM264" s="36"/>
    </row>
    <row r="265" spans="39:39">
      <c r="AM265" s="36"/>
    </row>
    <row r="266" spans="39:39">
      <c r="AM266" s="36"/>
    </row>
    <row r="267" spans="39:39">
      <c r="AM267" s="36"/>
    </row>
    <row r="268" spans="39:39">
      <c r="AM268" s="36"/>
    </row>
    <row r="269" spans="39:39" s="30" customFormat="1">
      <c r="AM269" s="244"/>
    </row>
    <row r="270" spans="39:39" s="30" customFormat="1">
      <c r="AM270" s="244"/>
    </row>
    <row r="271" spans="39:39">
      <c r="AM271" s="36"/>
    </row>
    <row r="272" spans="39:39">
      <c r="AM272" s="36"/>
    </row>
    <row r="273" spans="7:40">
      <c r="AM273" s="36"/>
    </row>
    <row r="274" spans="7:40">
      <c r="AM274" s="36"/>
    </row>
    <row r="275" spans="7:40">
      <c r="AM275" s="36"/>
    </row>
    <row r="276" spans="7:40">
      <c r="AM276" s="36"/>
    </row>
    <row r="277" spans="7:40">
      <c r="AM277" s="36"/>
    </row>
    <row r="278" spans="7:40">
      <c r="AM278" s="36"/>
    </row>
    <row r="279" spans="7:40">
      <c r="AM279" s="36"/>
    </row>
    <row r="280" spans="7:40">
      <c r="AM280" s="36"/>
    </row>
    <row r="281" spans="7:40">
      <c r="AM281" s="41"/>
    </row>
    <row r="282" spans="7:40">
      <c r="AM282" s="31"/>
    </row>
    <row r="283" spans="7:40">
      <c r="AM283" s="32"/>
      <c r="AN283" s="32"/>
    </row>
    <row r="284" spans="7:40">
      <c r="G284"/>
      <c r="H284"/>
      <c r="I284"/>
      <c r="M284"/>
    </row>
    <row r="285" spans="7:40">
      <c r="G285"/>
      <c r="H285"/>
      <c r="I285"/>
      <c r="M285"/>
    </row>
    <row r="286" spans="7:40">
      <c r="G286"/>
      <c r="H286"/>
      <c r="I286"/>
      <c r="M286"/>
    </row>
    <row r="287" spans="7:40">
      <c r="G287"/>
      <c r="H287"/>
      <c r="I287"/>
      <c r="M287"/>
    </row>
    <row r="288" spans="7:40">
      <c r="G288"/>
      <c r="H288"/>
      <c r="I288"/>
      <c r="M288"/>
    </row>
    <row r="289" spans="7:13">
      <c r="G289"/>
      <c r="H289"/>
      <c r="I289"/>
      <c r="M289"/>
    </row>
    <row r="290" spans="7:13">
      <c r="G290"/>
      <c r="H290"/>
      <c r="I290"/>
      <c r="M290"/>
    </row>
    <row r="291" spans="7:13">
      <c r="G291"/>
      <c r="H291"/>
      <c r="I291"/>
      <c r="M291"/>
    </row>
    <row r="292" spans="7:13">
      <c r="G292"/>
      <c r="H292"/>
      <c r="I292"/>
      <c r="M292"/>
    </row>
    <row r="293" spans="7:13">
      <c r="G293"/>
      <c r="H293"/>
      <c r="I293"/>
      <c r="M293"/>
    </row>
    <row r="294" spans="7:13">
      <c r="G294"/>
      <c r="H294"/>
      <c r="I294"/>
      <c r="M294"/>
    </row>
    <row r="295" spans="7:13">
      <c r="G295"/>
      <c r="H295"/>
      <c r="I295"/>
      <c r="M295"/>
    </row>
    <row r="296" spans="7:13">
      <c r="G296"/>
      <c r="H296"/>
      <c r="I296"/>
      <c r="M296"/>
    </row>
    <row r="297" spans="7:13">
      <c r="G297"/>
      <c r="H297"/>
      <c r="I297"/>
      <c r="M297"/>
    </row>
    <row r="298" spans="7:13">
      <c r="G298"/>
      <c r="H298"/>
      <c r="I298"/>
      <c r="M298"/>
    </row>
    <row r="299" spans="7:13">
      <c r="G299"/>
      <c r="H299"/>
      <c r="I299"/>
      <c r="M299"/>
    </row>
    <row r="300" spans="7:13">
      <c r="G300"/>
      <c r="H300"/>
      <c r="I300"/>
      <c r="M300"/>
    </row>
    <row r="301" spans="7:13">
      <c r="G301"/>
      <c r="H301"/>
      <c r="I301"/>
      <c r="M301"/>
    </row>
    <row r="302" spans="7:13">
      <c r="G302"/>
      <c r="H302"/>
      <c r="I302"/>
      <c r="M302"/>
    </row>
    <row r="303" spans="7:13">
      <c r="G303"/>
      <c r="H303"/>
      <c r="I303"/>
      <c r="M303"/>
    </row>
    <row r="304" spans="7:13">
      <c r="G304"/>
      <c r="H304"/>
      <c r="I304"/>
      <c r="M304"/>
    </row>
    <row r="305" spans="7:13">
      <c r="G305"/>
      <c r="H305"/>
      <c r="I305"/>
      <c r="M305"/>
    </row>
    <row r="306" spans="7:13">
      <c r="G306"/>
      <c r="H306"/>
      <c r="I306"/>
      <c r="M306"/>
    </row>
    <row r="307" spans="7:13">
      <c r="G307"/>
      <c r="H307"/>
      <c r="I307"/>
      <c r="M307"/>
    </row>
    <row r="308" spans="7:13">
      <c r="G308"/>
      <c r="H308"/>
      <c r="I308"/>
      <c r="M308"/>
    </row>
    <row r="309" spans="7:13">
      <c r="G309"/>
      <c r="H309"/>
      <c r="I309"/>
      <c r="M309"/>
    </row>
    <row r="310" spans="7:13">
      <c r="G310"/>
      <c r="H310"/>
      <c r="I310"/>
      <c r="M310"/>
    </row>
    <row r="311" spans="7:13">
      <c r="G311"/>
      <c r="H311"/>
      <c r="I311"/>
      <c r="M311"/>
    </row>
    <row r="312" spans="7:13">
      <c r="G312"/>
      <c r="H312"/>
      <c r="I312"/>
      <c r="M312"/>
    </row>
    <row r="313" spans="7:13">
      <c r="G313"/>
      <c r="H313"/>
      <c r="I313"/>
      <c r="M313"/>
    </row>
    <row r="314" spans="7:13">
      <c r="G314"/>
      <c r="H314"/>
      <c r="I314"/>
      <c r="M314"/>
    </row>
    <row r="315" spans="7:13">
      <c r="G315"/>
      <c r="H315"/>
      <c r="I315"/>
      <c r="M315"/>
    </row>
    <row r="316" spans="7:13">
      <c r="G316"/>
      <c r="H316"/>
      <c r="I316"/>
      <c r="M316"/>
    </row>
    <row r="317" spans="7:13">
      <c r="G317"/>
      <c r="H317"/>
      <c r="I317"/>
      <c r="M317"/>
    </row>
    <row r="318" spans="7:13">
      <c r="G318"/>
      <c r="H318"/>
      <c r="I318"/>
      <c r="M318"/>
    </row>
    <row r="319" spans="7:13">
      <c r="G319"/>
      <c r="H319"/>
      <c r="I319"/>
      <c r="M319"/>
    </row>
    <row r="320" spans="7:13">
      <c r="G320"/>
      <c r="H320"/>
      <c r="I320"/>
      <c r="M320"/>
    </row>
    <row r="321" spans="7:13">
      <c r="G321"/>
      <c r="H321"/>
      <c r="I321"/>
      <c r="M321"/>
    </row>
    <row r="322" spans="7:13">
      <c r="G322"/>
      <c r="H322"/>
      <c r="I322"/>
      <c r="M322"/>
    </row>
    <row r="323" spans="7:13">
      <c r="G323"/>
      <c r="H323"/>
      <c r="I323"/>
      <c r="M323"/>
    </row>
    <row r="324" spans="7:13">
      <c r="G324"/>
      <c r="H324"/>
      <c r="I324"/>
      <c r="M324"/>
    </row>
    <row r="325" spans="7:13">
      <c r="G325"/>
      <c r="H325"/>
      <c r="I325"/>
      <c r="M325"/>
    </row>
    <row r="326" spans="7:13">
      <c r="G326"/>
      <c r="H326"/>
      <c r="I326"/>
      <c r="M326"/>
    </row>
    <row r="327" spans="7:13">
      <c r="G327"/>
      <c r="H327"/>
      <c r="I327"/>
      <c r="M327"/>
    </row>
    <row r="328" spans="7:13">
      <c r="G328"/>
      <c r="H328"/>
      <c r="I328"/>
      <c r="M328"/>
    </row>
    <row r="329" spans="7:13">
      <c r="G329"/>
      <c r="H329"/>
      <c r="I329"/>
      <c r="M329"/>
    </row>
    <row r="330" spans="7:13">
      <c r="G330"/>
      <c r="H330"/>
      <c r="I330"/>
      <c r="M330"/>
    </row>
    <row r="331" spans="7:13">
      <c r="G331"/>
      <c r="H331"/>
      <c r="I331"/>
      <c r="M331"/>
    </row>
    <row r="332" spans="7:13">
      <c r="G332"/>
      <c r="H332"/>
      <c r="I332"/>
      <c r="M332"/>
    </row>
    <row r="333" spans="7:13">
      <c r="G333"/>
      <c r="H333"/>
      <c r="I333"/>
      <c r="M333"/>
    </row>
    <row r="334" spans="7:13">
      <c r="G334"/>
      <c r="H334"/>
      <c r="I334"/>
      <c r="M334"/>
    </row>
    <row r="335" spans="7:13">
      <c r="G335"/>
      <c r="H335"/>
      <c r="I335"/>
      <c r="M335"/>
    </row>
    <row r="336" spans="7:13">
      <c r="G336"/>
      <c r="H336"/>
      <c r="I336"/>
      <c r="M336"/>
    </row>
    <row r="337" spans="7:13">
      <c r="G337"/>
      <c r="H337"/>
      <c r="I337"/>
      <c r="M337"/>
    </row>
    <row r="338" spans="7:13">
      <c r="G338"/>
      <c r="H338"/>
      <c r="I338"/>
      <c r="M338"/>
    </row>
    <row r="339" spans="7:13">
      <c r="G339"/>
      <c r="H339"/>
      <c r="I339"/>
      <c r="M339"/>
    </row>
    <row r="340" spans="7:13">
      <c r="G340"/>
      <c r="H340"/>
      <c r="I340"/>
      <c r="M340"/>
    </row>
    <row r="341" spans="7:13">
      <c r="G341"/>
      <c r="H341"/>
      <c r="I341"/>
      <c r="M341"/>
    </row>
    <row r="342" spans="7:13">
      <c r="G342"/>
      <c r="H342"/>
      <c r="I342"/>
      <c r="M342"/>
    </row>
    <row r="343" spans="7:13">
      <c r="G343"/>
      <c r="H343"/>
      <c r="I343"/>
      <c r="M343"/>
    </row>
    <row r="344" spans="7:13">
      <c r="G344"/>
      <c r="H344"/>
      <c r="I344"/>
      <c r="M344"/>
    </row>
    <row r="345" spans="7:13">
      <c r="G345"/>
      <c r="H345"/>
      <c r="I345"/>
      <c r="M345"/>
    </row>
  </sheetData>
  <sheetProtection sheet="1" objects="1" scenarios="1"/>
  <mergeCells count="72">
    <mergeCell ref="D53:G53"/>
    <mergeCell ref="D54:G54"/>
    <mergeCell ref="D57:G57"/>
    <mergeCell ref="B112:B113"/>
    <mergeCell ref="A90:A109"/>
    <mergeCell ref="D56:G56"/>
    <mergeCell ref="D66:G66"/>
    <mergeCell ref="D59:G59"/>
    <mergeCell ref="D71:G71"/>
    <mergeCell ref="D58:G58"/>
    <mergeCell ref="D70:G70"/>
    <mergeCell ref="D72:G72"/>
    <mergeCell ref="D60:G60"/>
    <mergeCell ref="K2:L2"/>
    <mergeCell ref="D49:G49"/>
    <mergeCell ref="D50:G50"/>
    <mergeCell ref="D43:G43"/>
    <mergeCell ref="D21:G21"/>
    <mergeCell ref="D23:G23"/>
    <mergeCell ref="D24:G24"/>
    <mergeCell ref="D26:G26"/>
    <mergeCell ref="D27:G27"/>
    <mergeCell ref="D25:G25"/>
    <mergeCell ref="D36:G36"/>
    <mergeCell ref="D28:G28"/>
    <mergeCell ref="D37:G37"/>
    <mergeCell ref="D14:G14"/>
    <mergeCell ref="D17:G17"/>
    <mergeCell ref="D18:G18"/>
    <mergeCell ref="D19:G19"/>
    <mergeCell ref="D20:G20"/>
    <mergeCell ref="D29:G29"/>
    <mergeCell ref="D30:G30"/>
    <mergeCell ref="D31:G31"/>
    <mergeCell ref="D33:G33"/>
    <mergeCell ref="D34:G34"/>
    <mergeCell ref="D52:G52"/>
    <mergeCell ref="D48:G48"/>
    <mergeCell ref="D44:G44"/>
    <mergeCell ref="D45:G45"/>
    <mergeCell ref="B163:B164"/>
    <mergeCell ref="D46:G46"/>
    <mergeCell ref="D32:G32"/>
    <mergeCell ref="D67:G67"/>
    <mergeCell ref="D68:G68"/>
    <mergeCell ref="D69:G69"/>
    <mergeCell ref="D55:G55"/>
    <mergeCell ref="D51:G51"/>
    <mergeCell ref="D47:G47"/>
    <mergeCell ref="D35:G35"/>
    <mergeCell ref="D62:G62"/>
    <mergeCell ref="D63:G63"/>
    <mergeCell ref="D64:G64"/>
    <mergeCell ref="D65:G65"/>
    <mergeCell ref="D38:G38"/>
    <mergeCell ref="D61:G61"/>
    <mergeCell ref="B47:C47"/>
    <mergeCell ref="B4:L4"/>
    <mergeCell ref="B85:E86"/>
    <mergeCell ref="D40:G40"/>
    <mergeCell ref="D41:G41"/>
    <mergeCell ref="D42:G42"/>
    <mergeCell ref="D39:G39"/>
    <mergeCell ref="D7:G7"/>
    <mergeCell ref="D8:G8"/>
    <mergeCell ref="D9:G9"/>
    <mergeCell ref="D15:G15"/>
    <mergeCell ref="D16:G16"/>
    <mergeCell ref="D10:G10"/>
    <mergeCell ref="D11:G11"/>
    <mergeCell ref="D12:G12"/>
    <mergeCell ref="D13:G13"/>
  </mergeCells>
  <phoneticPr fontId="16" type="noConversion"/>
  <hyperlinks>
    <hyperlink ref="K2" location="'Workbook Index'!A1" display="Back to Workbook Index"/>
    <hyperlink ref="L2" location="'Workbook Index'!A1" display="'Workbook Index'!A1"/>
  </hyperlinks>
  <pageMargins left="0.5" right="0.5" top="0.75" bottom="0.75" header="0.5" footer="0.5"/>
  <pageSetup paperSize="3" orientation="landscape" horizontalDpi="4294967293" verticalDpi="4294967293"/>
  <extLst>
    <ext xmlns:mx="http://schemas.microsoft.com/office/mac/excel/2008/main" uri="{64002731-A6B0-56B0-2670-7721B7C09600}">
      <mx:PLV Mode="0" OnePage="0" WScale="54"/>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C264"/>
  <sheetViews>
    <sheetView showGridLines="0" workbookViewId="0">
      <selection activeCell="I154" sqref="I154"/>
    </sheetView>
  </sheetViews>
  <sheetFormatPr baseColWidth="10" defaultRowHeight="15" x14ac:dyDescent="0"/>
  <cols>
    <col min="1" max="1" width="2.85546875" style="5" customWidth="1"/>
    <col min="2" max="2" width="64.5703125" style="5" customWidth="1"/>
    <col min="3" max="3" width="13.42578125" style="5" customWidth="1"/>
    <col min="4" max="4" width="12.7109375" style="5" customWidth="1"/>
    <col min="5" max="5" width="13.5703125" style="5" customWidth="1"/>
    <col min="6" max="7" width="12.7109375" style="5" customWidth="1"/>
    <col min="8" max="8" width="13" style="5" customWidth="1"/>
    <col min="9" max="9" width="15" style="5" customWidth="1"/>
    <col min="10" max="10" width="13" style="5" customWidth="1"/>
    <col min="11" max="11" width="24.85546875" style="5" customWidth="1"/>
    <col min="12" max="18" width="10.7109375" style="5"/>
    <col min="19" max="19" width="10.7109375" style="5" customWidth="1"/>
    <col min="20" max="20" width="19.28515625" style="53" customWidth="1"/>
    <col min="21" max="21" width="8.28515625" style="5" customWidth="1"/>
    <col min="22" max="24" width="10.7109375" style="5"/>
    <col min="25" max="25" width="10" style="5" customWidth="1"/>
    <col min="26" max="16384" width="10.7109375" style="5"/>
  </cols>
  <sheetData>
    <row r="1" spans="1:20" ht="16" thickBot="1"/>
    <row r="2" spans="1:20" ht="19" thickBot="1">
      <c r="B2" s="42" t="s">
        <v>626</v>
      </c>
      <c r="C2" s="42"/>
      <c r="E2" s="28"/>
      <c r="G2" s="563"/>
      <c r="H2" s="1263" t="s">
        <v>512</v>
      </c>
      <c r="I2" s="1264"/>
      <c r="J2" s="564"/>
    </row>
    <row r="3" spans="1:20" s="28" customFormat="1" ht="18">
      <c r="B3" s="565"/>
      <c r="C3" s="566"/>
      <c r="G3" s="567"/>
      <c r="H3" s="568"/>
      <c r="I3" s="568"/>
      <c r="J3" s="569"/>
      <c r="T3" s="181"/>
    </row>
    <row r="4" spans="1:20" s="28" customFormat="1" ht="51" customHeight="1">
      <c r="B4" s="1262" t="s">
        <v>883</v>
      </c>
      <c r="C4" s="1262"/>
      <c r="D4" s="1262"/>
      <c r="E4" s="1262"/>
      <c r="F4" s="1262"/>
      <c r="G4" s="1262"/>
      <c r="H4" s="1262"/>
      <c r="I4" s="1262"/>
      <c r="J4" s="569"/>
      <c r="T4" s="181"/>
    </row>
    <row r="5" spans="1:20" s="28" customFormat="1" ht="18">
      <c r="B5" s="565"/>
      <c r="C5" s="566"/>
      <c r="G5" s="567"/>
      <c r="H5" s="1034"/>
      <c r="I5" s="1034"/>
      <c r="J5" s="569"/>
      <c r="T5" s="181"/>
    </row>
    <row r="6" spans="1:20" s="253" customFormat="1" ht="27" customHeight="1">
      <c r="B6" s="1213" t="s">
        <v>533</v>
      </c>
      <c r="C6" s="1213"/>
      <c r="D6" s="1213"/>
      <c r="E6" s="1213"/>
      <c r="F6" s="1213"/>
      <c r="G6" s="1213"/>
      <c r="H6" s="1214"/>
      <c r="I6" s="1214"/>
      <c r="J6" s="259"/>
      <c r="S6" s="255"/>
    </row>
    <row r="7" spans="1:20" ht="31" thickBot="1">
      <c r="B7" s="1220" t="s">
        <v>383</v>
      </c>
      <c r="C7" s="1221" t="s">
        <v>540</v>
      </c>
      <c r="D7" s="1313" t="s">
        <v>384</v>
      </c>
      <c r="E7" s="1313"/>
      <c r="F7" s="1313"/>
      <c r="G7" s="1313"/>
      <c r="H7" s="1313"/>
      <c r="I7" s="1313"/>
      <c r="J7" s="72"/>
      <c r="S7" s="53"/>
      <c r="T7" s="5"/>
    </row>
    <row r="8" spans="1:20">
      <c r="A8" s="22"/>
      <c r="B8" s="1222" t="s">
        <v>464</v>
      </c>
      <c r="C8" s="397"/>
      <c r="D8" s="1080"/>
      <c r="E8" s="1080"/>
      <c r="F8" s="1080"/>
      <c r="G8" s="1080"/>
      <c r="H8" s="1080"/>
      <c r="I8" s="1223" t="s">
        <v>261</v>
      </c>
      <c r="J8" s="22"/>
      <c r="K8" s="28"/>
      <c r="R8" s="53"/>
      <c r="T8" s="5"/>
    </row>
    <row r="9" spans="1:20">
      <c r="B9" s="1199" t="s">
        <v>69</v>
      </c>
      <c r="C9" s="1201">
        <f>350/3</f>
        <v>116.66666666666667</v>
      </c>
      <c r="D9" s="1226" t="s">
        <v>786</v>
      </c>
      <c r="E9" s="1226"/>
      <c r="F9" s="1226"/>
      <c r="G9" s="1226"/>
      <c r="H9" s="1226"/>
      <c r="I9" s="1226"/>
      <c r="J9" s="22"/>
      <c r="L9" s="45"/>
      <c r="S9" s="53"/>
      <c r="T9" s="5"/>
    </row>
    <row r="10" spans="1:20">
      <c r="B10" s="1192" t="s">
        <v>323</v>
      </c>
      <c r="C10" s="257">
        <f>I81</f>
        <v>124</v>
      </c>
      <c r="D10" s="1227" t="s">
        <v>787</v>
      </c>
      <c r="E10" s="1227"/>
      <c r="F10" s="1227"/>
      <c r="G10" s="1227"/>
      <c r="H10" s="1227"/>
      <c r="I10" s="1227"/>
      <c r="J10" s="22"/>
      <c r="L10" s="28"/>
      <c r="S10" s="53"/>
      <c r="T10" s="5"/>
    </row>
    <row r="11" spans="1:20">
      <c r="B11" s="1199" t="s">
        <v>774</v>
      </c>
      <c r="C11" s="1201">
        <f>I82</f>
        <v>186</v>
      </c>
      <c r="D11" s="1226" t="s">
        <v>788</v>
      </c>
      <c r="E11" s="1226"/>
      <c r="F11" s="1226"/>
      <c r="G11" s="1226"/>
      <c r="H11" s="1226"/>
      <c r="I11" s="1226"/>
      <c r="J11" s="22"/>
      <c r="L11" s="28"/>
      <c r="S11" s="53"/>
      <c r="T11" s="5"/>
    </row>
    <row r="12" spans="1:20">
      <c r="B12" s="1192" t="s">
        <v>775</v>
      </c>
      <c r="C12" s="257">
        <f>I83</f>
        <v>186</v>
      </c>
      <c r="D12" s="1227" t="s">
        <v>788</v>
      </c>
      <c r="E12" s="1227"/>
      <c r="F12" s="1227"/>
      <c r="G12" s="1227"/>
      <c r="H12" s="1227"/>
      <c r="I12" s="1227"/>
      <c r="J12" s="22"/>
      <c r="L12" s="28"/>
      <c r="S12" s="53"/>
      <c r="T12" s="5"/>
    </row>
    <row r="13" spans="1:20" ht="16" customHeight="1">
      <c r="B13" s="1199" t="s">
        <v>324</v>
      </c>
      <c r="C13" s="1201">
        <f>I84</f>
        <v>155</v>
      </c>
      <c r="D13" s="1226" t="s">
        <v>789</v>
      </c>
      <c r="E13" s="1226"/>
      <c r="F13" s="1226"/>
      <c r="G13" s="1226"/>
      <c r="H13" s="1226"/>
      <c r="I13" s="1226"/>
      <c r="J13" s="22"/>
      <c r="K13" s="28"/>
      <c r="R13" s="53"/>
      <c r="T13" s="5"/>
    </row>
    <row r="14" spans="1:20">
      <c r="B14" s="1192" t="s">
        <v>348</v>
      </c>
      <c r="C14" s="257">
        <f>G88</f>
        <v>36</v>
      </c>
      <c r="D14" s="1227" t="s">
        <v>790</v>
      </c>
      <c r="E14" s="1227"/>
      <c r="F14" s="1227"/>
      <c r="G14" s="1227"/>
      <c r="H14" s="1227"/>
      <c r="I14" s="1227"/>
      <c r="J14" s="22"/>
      <c r="K14" s="28"/>
      <c r="R14" s="53"/>
      <c r="T14" s="5"/>
    </row>
    <row r="15" spans="1:20">
      <c r="B15" s="1199" t="s">
        <v>311</v>
      </c>
      <c r="C15" s="1201">
        <f>G89</f>
        <v>17</v>
      </c>
      <c r="D15" s="1226" t="s">
        <v>791</v>
      </c>
      <c r="E15" s="1226"/>
      <c r="F15" s="1226"/>
      <c r="G15" s="1226"/>
      <c r="H15" s="1226"/>
      <c r="I15" s="1226"/>
      <c r="J15" s="22"/>
      <c r="K15" s="28"/>
      <c r="R15" s="53"/>
      <c r="T15" s="5"/>
    </row>
    <row r="16" spans="1:20">
      <c r="B16" s="1192" t="s">
        <v>312</v>
      </c>
      <c r="C16" s="257">
        <f>G90</f>
        <v>9.75</v>
      </c>
      <c r="D16" s="1227" t="s">
        <v>792</v>
      </c>
      <c r="E16" s="1227"/>
      <c r="F16" s="1227"/>
      <c r="G16" s="1227"/>
      <c r="H16" s="1227"/>
      <c r="I16" s="1227"/>
      <c r="J16" s="22"/>
      <c r="R16" s="53"/>
      <c r="T16" s="5"/>
    </row>
    <row r="17" spans="1:20">
      <c r="B17" s="1192"/>
      <c r="C17" s="257"/>
      <c r="D17" s="1124"/>
      <c r="E17" s="1124"/>
      <c r="F17" s="1124"/>
      <c r="G17" s="1124"/>
      <c r="H17" s="1124"/>
      <c r="I17" s="1124"/>
      <c r="J17" s="22"/>
      <c r="R17" s="53"/>
      <c r="T17" s="5"/>
    </row>
    <row r="18" spans="1:20">
      <c r="B18" s="1224" t="s">
        <v>896</v>
      </c>
      <c r="C18" s="257"/>
      <c r="D18" s="1080"/>
      <c r="E18" s="1080"/>
      <c r="F18" s="1080"/>
      <c r="G18" s="1080"/>
      <c r="H18" s="1080"/>
      <c r="I18" s="1223" t="s">
        <v>262</v>
      </c>
      <c r="J18" s="22"/>
      <c r="R18" s="53"/>
      <c r="T18" s="5"/>
    </row>
    <row r="19" spans="1:20">
      <c r="B19" s="1197" t="s">
        <v>762</v>
      </c>
      <c r="C19" s="1201">
        <f>G96</f>
        <v>77.785714285714278</v>
      </c>
      <c r="D19" s="1226" t="s">
        <v>793</v>
      </c>
      <c r="E19" s="1226"/>
      <c r="F19" s="1226"/>
      <c r="G19" s="1226"/>
      <c r="H19" s="1226"/>
      <c r="I19" s="1226"/>
      <c r="J19" s="22"/>
      <c r="R19" s="53"/>
      <c r="T19" s="5"/>
    </row>
    <row r="20" spans="1:20">
      <c r="B20" s="462" t="s">
        <v>763</v>
      </c>
      <c r="C20" s="58">
        <f>G97</f>
        <v>68.0625</v>
      </c>
      <c r="D20" s="1227" t="s">
        <v>794</v>
      </c>
      <c r="E20" s="1227"/>
      <c r="F20" s="1227"/>
      <c r="G20" s="1227"/>
      <c r="H20" s="1227"/>
      <c r="I20" s="1227"/>
      <c r="J20" s="22"/>
      <c r="R20" s="53"/>
      <c r="T20" s="5"/>
    </row>
    <row r="21" spans="1:20">
      <c r="B21" s="1197" t="s">
        <v>760</v>
      </c>
      <c r="C21" s="1201">
        <f>G99</f>
        <v>33.880000000000003</v>
      </c>
      <c r="D21" s="1226" t="s">
        <v>795</v>
      </c>
      <c r="E21" s="1226"/>
      <c r="F21" s="1226"/>
      <c r="G21" s="1226"/>
      <c r="H21" s="1226"/>
      <c r="I21" s="1226"/>
      <c r="J21" s="22"/>
      <c r="R21" s="53"/>
      <c r="T21" s="5"/>
    </row>
    <row r="22" spans="1:20">
      <c r="B22" s="462" t="s">
        <v>761</v>
      </c>
      <c r="C22" s="58">
        <f>G100</f>
        <v>125.09538461538463</v>
      </c>
      <c r="D22" s="1227" t="s">
        <v>795</v>
      </c>
      <c r="E22" s="1227"/>
      <c r="F22" s="1227"/>
      <c r="G22" s="1227"/>
      <c r="H22" s="1227"/>
      <c r="I22" s="1227"/>
      <c r="J22" s="22"/>
      <c r="R22" s="53"/>
      <c r="T22" s="5"/>
    </row>
    <row r="23" spans="1:20">
      <c r="B23" s="1197" t="s">
        <v>739</v>
      </c>
      <c r="C23" s="1201">
        <f>G100</f>
        <v>125.09538461538463</v>
      </c>
      <c r="D23" s="1226" t="s">
        <v>796</v>
      </c>
      <c r="E23" s="1226"/>
      <c r="F23" s="1226"/>
      <c r="G23" s="1226"/>
      <c r="H23" s="1226"/>
      <c r="I23" s="1226"/>
      <c r="J23" s="22"/>
      <c r="K23" s="28"/>
      <c r="R23" s="53"/>
      <c r="T23" s="5"/>
    </row>
    <row r="24" spans="1:20">
      <c r="B24" s="462" t="s">
        <v>764</v>
      </c>
      <c r="C24" s="58">
        <f>G101</f>
        <v>125.09538461538463</v>
      </c>
      <c r="D24" s="1227" t="s">
        <v>797</v>
      </c>
      <c r="E24" s="1227"/>
      <c r="F24" s="1227"/>
      <c r="G24" s="1227"/>
      <c r="H24" s="1227"/>
      <c r="I24" s="1227"/>
      <c r="J24" s="22"/>
      <c r="K24" s="28"/>
      <c r="R24" s="53"/>
      <c r="T24" s="5"/>
    </row>
    <row r="25" spans="1:20">
      <c r="B25" s="95"/>
      <c r="C25" s="58"/>
      <c r="D25" s="1124"/>
      <c r="E25" s="1124"/>
      <c r="F25" s="1124"/>
      <c r="G25" s="1124"/>
      <c r="H25" s="1124"/>
      <c r="I25" s="1124"/>
      <c r="J25" s="22"/>
      <c r="K25" s="28"/>
      <c r="R25" s="53"/>
      <c r="T25" s="5"/>
    </row>
    <row r="26" spans="1:20">
      <c r="B26" s="200" t="s">
        <v>897</v>
      </c>
      <c r="C26" s="58"/>
      <c r="D26" s="1080"/>
      <c r="E26" s="1080"/>
      <c r="F26" s="1080"/>
      <c r="G26" s="1080"/>
      <c r="H26" s="1080"/>
      <c r="I26" s="1223" t="s">
        <v>264</v>
      </c>
      <c r="J26" s="22"/>
      <c r="R26" s="53"/>
      <c r="T26" s="5"/>
    </row>
    <row r="27" spans="1:20">
      <c r="B27" s="1228" t="s">
        <v>701</v>
      </c>
      <c r="C27" s="1229">
        <f>F116</f>
        <v>654.99851816666671</v>
      </c>
      <c r="D27" s="1226" t="s">
        <v>768</v>
      </c>
      <c r="E27" s="1226"/>
      <c r="F27" s="1226"/>
      <c r="G27" s="1226"/>
      <c r="H27" s="1226"/>
      <c r="I27" s="1226"/>
      <c r="J27" s="22"/>
      <c r="R27" s="53"/>
      <c r="T27" s="5"/>
    </row>
    <row r="28" spans="1:20">
      <c r="A28" s="22"/>
      <c r="B28" s="1192" t="s">
        <v>691</v>
      </c>
      <c r="C28" s="257">
        <f>F120</f>
        <v>138.49846153846156</v>
      </c>
      <c r="D28" s="1227" t="s">
        <v>798</v>
      </c>
      <c r="E28" s="1227"/>
      <c r="F28" s="1227"/>
      <c r="G28" s="1227"/>
      <c r="H28" s="1227"/>
      <c r="I28" s="1227"/>
      <c r="J28" s="22"/>
      <c r="K28" s="28"/>
      <c r="R28" s="53"/>
      <c r="T28" s="5"/>
    </row>
    <row r="29" spans="1:20">
      <c r="A29" s="22"/>
      <c r="B29" s="1228" t="s">
        <v>461</v>
      </c>
      <c r="C29" s="1229">
        <f>F123</f>
        <v>29.961904761904766</v>
      </c>
      <c r="D29" s="1226" t="s">
        <v>799</v>
      </c>
      <c r="E29" s="1226"/>
      <c r="F29" s="1226"/>
      <c r="G29" s="1226"/>
      <c r="H29" s="1226"/>
      <c r="I29" s="1226"/>
      <c r="J29" s="22"/>
      <c r="K29" s="28"/>
      <c r="R29" s="53"/>
      <c r="T29" s="5"/>
    </row>
    <row r="30" spans="1:20" ht="32" customHeight="1">
      <c r="A30" s="22"/>
      <c r="B30" s="1215" t="s">
        <v>692</v>
      </c>
      <c r="C30" s="618">
        <f>F125</f>
        <v>105.57250000000002</v>
      </c>
      <c r="D30" s="1291" t="s">
        <v>927</v>
      </c>
      <c r="E30" s="1291"/>
      <c r="F30" s="1291"/>
      <c r="G30" s="1291"/>
      <c r="H30" s="1291"/>
      <c r="I30" s="1291"/>
      <c r="J30" s="22"/>
      <c r="K30" s="28"/>
      <c r="R30" s="53"/>
      <c r="T30" s="5"/>
    </row>
    <row r="31" spans="1:20">
      <c r="A31" s="22"/>
      <c r="B31" s="1215"/>
      <c r="C31" s="618"/>
      <c r="D31" s="1123"/>
      <c r="E31" s="1123"/>
      <c r="F31" s="1123"/>
      <c r="G31" s="1123"/>
      <c r="H31" s="1123"/>
      <c r="I31" s="1123"/>
      <c r="J31" s="22"/>
      <c r="K31" s="28"/>
      <c r="R31" s="53"/>
      <c r="T31" s="5"/>
    </row>
    <row r="32" spans="1:20">
      <c r="B32" s="200" t="s">
        <v>465</v>
      </c>
      <c r="C32" s="58"/>
      <c r="D32" s="1080"/>
      <c r="E32" s="1080"/>
      <c r="F32" s="1080"/>
      <c r="G32" s="1080"/>
      <c r="H32" s="1080"/>
      <c r="I32" s="1223" t="s">
        <v>265</v>
      </c>
      <c r="J32" s="22"/>
      <c r="K32" s="28"/>
      <c r="R32" s="53"/>
      <c r="T32" s="5"/>
    </row>
    <row r="33" spans="1:20">
      <c r="B33" s="1199" t="s">
        <v>310</v>
      </c>
      <c r="C33" s="1201">
        <f>G139</f>
        <v>31.793452380952385</v>
      </c>
      <c r="D33" s="1226" t="s">
        <v>555</v>
      </c>
      <c r="E33" s="1226"/>
      <c r="F33" s="1226"/>
      <c r="G33" s="1226"/>
      <c r="H33" s="1226"/>
      <c r="I33" s="1226"/>
      <c r="J33" s="22"/>
      <c r="K33" s="28"/>
      <c r="R33" s="53"/>
      <c r="T33" s="5"/>
    </row>
    <row r="34" spans="1:20">
      <c r="B34" s="22" t="s">
        <v>306</v>
      </c>
      <c r="C34" s="257">
        <f>G147</f>
        <v>32.346666666666671</v>
      </c>
      <c r="D34" s="1227" t="s">
        <v>556</v>
      </c>
      <c r="E34" s="1227"/>
      <c r="F34" s="1227"/>
      <c r="G34" s="1227"/>
      <c r="H34" s="1227"/>
      <c r="I34" s="1227"/>
      <c r="J34" s="22"/>
      <c r="K34" s="28"/>
      <c r="R34" s="53"/>
      <c r="T34" s="5"/>
    </row>
    <row r="35" spans="1:20">
      <c r="B35" s="1199" t="s">
        <v>309</v>
      </c>
      <c r="C35" s="1201">
        <f>G154</f>
        <v>79.866666666666674</v>
      </c>
      <c r="D35" s="1226" t="s">
        <v>410</v>
      </c>
      <c r="E35" s="1226"/>
      <c r="F35" s="1226"/>
      <c r="G35" s="1226"/>
      <c r="H35" s="1226"/>
      <c r="I35" s="1226"/>
      <c r="J35" s="22"/>
      <c r="R35" s="53"/>
      <c r="T35" s="5"/>
    </row>
    <row r="36" spans="1:20">
      <c r="B36" s="22" t="s">
        <v>308</v>
      </c>
      <c r="C36" s="257">
        <f>G142</f>
        <v>8.8000000000000007</v>
      </c>
      <c r="D36" s="1227" t="s">
        <v>800</v>
      </c>
      <c r="E36" s="1227"/>
      <c r="F36" s="1227"/>
      <c r="G36" s="1227"/>
      <c r="H36" s="1227"/>
      <c r="I36" s="1227"/>
      <c r="J36" s="22"/>
      <c r="R36" s="53"/>
      <c r="T36" s="5"/>
    </row>
    <row r="37" spans="1:20">
      <c r="A37" s="22"/>
      <c r="B37" s="1199" t="s">
        <v>447</v>
      </c>
      <c r="C37" s="1201">
        <f>G155</f>
        <v>35.200000000000003</v>
      </c>
      <c r="D37" s="1226" t="s">
        <v>801</v>
      </c>
      <c r="E37" s="1226"/>
      <c r="F37" s="1226"/>
      <c r="G37" s="1226"/>
      <c r="H37" s="1226"/>
      <c r="I37" s="1226"/>
      <c r="J37" s="22"/>
      <c r="K37" s="28"/>
      <c r="R37" s="53"/>
      <c r="T37" s="5"/>
    </row>
    <row r="38" spans="1:20">
      <c r="A38" s="22"/>
      <c r="B38" s="22"/>
      <c r="C38" s="257"/>
      <c r="D38" s="1124"/>
      <c r="E38" s="1124"/>
      <c r="F38" s="1124"/>
      <c r="G38" s="1124"/>
      <c r="H38" s="1124"/>
      <c r="I38" s="1124"/>
      <c r="J38" s="22"/>
      <c r="K38" s="28"/>
      <c r="R38" s="53"/>
      <c r="T38" s="5"/>
    </row>
    <row r="39" spans="1:20">
      <c r="A39" s="22"/>
      <c r="B39" s="1222" t="s">
        <v>650</v>
      </c>
      <c r="C39" s="257"/>
      <c r="D39" s="1316" t="s">
        <v>454</v>
      </c>
      <c r="E39" s="1316"/>
      <c r="F39" s="1316"/>
      <c r="G39" s="1316"/>
      <c r="H39" s="1316"/>
      <c r="I39" s="1316"/>
      <c r="J39" s="22"/>
      <c r="K39" s="28"/>
      <c r="R39" s="53"/>
      <c r="T39" s="5"/>
    </row>
    <row r="40" spans="1:20">
      <c r="A40" s="22"/>
      <c r="B40" s="1199" t="str">
        <f>'Workbook Index'!B26</f>
        <v>Beans, Green</v>
      </c>
      <c r="C40" s="1201">
        <f t="shared" ref="C40:C50" si="0">H161</f>
        <v>201.04615384615386</v>
      </c>
      <c r="D40" s="1230" t="s">
        <v>802</v>
      </c>
      <c r="E40" s="1231"/>
      <c r="F40" s="1231"/>
      <c r="G40" s="1231"/>
      <c r="H40" s="1232"/>
      <c r="I40" s="1231"/>
      <c r="J40" s="22"/>
      <c r="K40" s="28"/>
      <c r="R40" s="53"/>
      <c r="T40" s="5"/>
    </row>
    <row r="41" spans="1:20">
      <c r="A41" s="22"/>
      <c r="B41" s="22" t="str">
        <f>'Workbook Index'!B27</f>
        <v>Beets</v>
      </c>
      <c r="C41" s="58">
        <f t="shared" si="0"/>
        <v>134.03076923076924</v>
      </c>
      <c r="D41" s="1216" t="s">
        <v>803</v>
      </c>
      <c r="E41" s="172"/>
      <c r="F41" s="172"/>
      <c r="G41" s="172"/>
      <c r="H41" s="294"/>
      <c r="I41" s="172"/>
      <c r="J41" s="22"/>
      <c r="K41" s="28"/>
      <c r="R41" s="53"/>
      <c r="T41" s="5"/>
    </row>
    <row r="42" spans="1:20">
      <c r="A42" s="22"/>
      <c r="B42" s="1199" t="str">
        <f>'Workbook Index'!B31</f>
        <v>Carrots</v>
      </c>
      <c r="C42" s="1201">
        <f t="shared" si="0"/>
        <v>150.78461538461539</v>
      </c>
      <c r="D42" s="1230" t="s">
        <v>804</v>
      </c>
      <c r="E42" s="1231"/>
      <c r="F42" s="1231"/>
      <c r="G42" s="1231"/>
      <c r="H42" s="1232"/>
      <c r="I42" s="1231"/>
      <c r="J42" s="22"/>
      <c r="K42" s="28"/>
      <c r="R42" s="53"/>
      <c r="T42" s="5"/>
    </row>
    <row r="43" spans="1:20">
      <c r="A43" s="22"/>
      <c r="B43" s="22" t="str">
        <f>'Workbook Index'!B33</f>
        <v>Chard, Swiss</v>
      </c>
      <c r="C43" s="58">
        <f t="shared" si="0"/>
        <v>166.19815384615387</v>
      </c>
      <c r="D43" s="1216" t="s">
        <v>805</v>
      </c>
      <c r="E43" s="172"/>
      <c r="F43" s="172"/>
      <c r="G43" s="172"/>
      <c r="H43" s="294"/>
      <c r="I43" s="172"/>
      <c r="J43" s="22"/>
      <c r="K43" s="28"/>
      <c r="R43" s="53"/>
      <c r="T43" s="5"/>
    </row>
    <row r="44" spans="1:20">
      <c r="A44" s="22"/>
      <c r="B44" s="1199" t="str">
        <f>'Workbook Index'!B34</f>
        <v>Corn, Sweet</v>
      </c>
      <c r="C44" s="1201">
        <f t="shared" si="0"/>
        <v>80.418461538461543</v>
      </c>
      <c r="D44" s="1230" t="s">
        <v>806</v>
      </c>
      <c r="E44" s="1231"/>
      <c r="F44" s="1231"/>
      <c r="G44" s="1231"/>
      <c r="H44" s="1232"/>
      <c r="I44" s="1231"/>
      <c r="J44" s="22"/>
      <c r="K44" s="28"/>
      <c r="R44" s="53"/>
      <c r="T44" s="5"/>
    </row>
    <row r="45" spans="1:20">
      <c r="A45" s="22"/>
      <c r="B45" s="22" t="str">
        <f>'Workbook Index'!B37</f>
        <v>Garlic</v>
      </c>
      <c r="C45" s="58">
        <f t="shared" si="0"/>
        <v>1333.5</v>
      </c>
      <c r="D45" s="1216" t="s">
        <v>807</v>
      </c>
      <c r="E45" s="172"/>
      <c r="F45" s="172"/>
      <c r="G45" s="172"/>
      <c r="H45" s="294"/>
      <c r="I45" s="172"/>
      <c r="J45" s="22"/>
      <c r="K45" s="28"/>
      <c r="R45" s="53"/>
      <c r="T45" s="5"/>
    </row>
    <row r="46" spans="1:20">
      <c r="A46" s="22"/>
      <c r="B46" s="1199" t="str">
        <f>'Workbook Index'!B39</f>
        <v>Greens, Salad</v>
      </c>
      <c r="C46" s="1201">
        <f t="shared" si="0"/>
        <v>73.716923076923081</v>
      </c>
      <c r="D46" s="1230" t="s">
        <v>808</v>
      </c>
      <c r="E46" s="1231"/>
      <c r="F46" s="1231"/>
      <c r="G46" s="1231"/>
      <c r="H46" s="1232"/>
      <c r="I46" s="1231"/>
      <c r="J46" s="196"/>
      <c r="R46" s="53"/>
      <c r="T46" s="5"/>
    </row>
    <row r="47" spans="1:20">
      <c r="A47" s="22"/>
      <c r="B47" s="22" t="str">
        <f>'Workbook Index'!B40</f>
        <v>Herbs, Summer Annual</v>
      </c>
      <c r="C47" s="58">
        <f t="shared" si="0"/>
        <v>44.230153846153854</v>
      </c>
      <c r="D47" s="1216" t="s">
        <v>809</v>
      </c>
      <c r="E47" s="172"/>
      <c r="F47" s="172"/>
      <c r="G47" s="172"/>
      <c r="H47" s="294"/>
      <c r="I47" s="172"/>
      <c r="J47" s="196"/>
      <c r="K47" s="28"/>
      <c r="R47" s="53"/>
      <c r="T47" s="5"/>
    </row>
    <row r="48" spans="1:20">
      <c r="A48" s="22"/>
      <c r="B48" s="1199" t="str">
        <f>'Workbook Index'!B47</f>
        <v>Potatoes</v>
      </c>
      <c r="C48" s="1201">
        <f t="shared" si="0"/>
        <v>1660</v>
      </c>
      <c r="D48" s="1230" t="s">
        <v>810</v>
      </c>
      <c r="E48" s="1231"/>
      <c r="F48" s="1231"/>
      <c r="G48" s="1231"/>
      <c r="H48" s="1232"/>
      <c r="I48" s="1231"/>
      <c r="J48" s="196"/>
      <c r="K48" s="28"/>
      <c r="R48" s="53"/>
      <c r="T48" s="5"/>
    </row>
    <row r="49" spans="1:20">
      <c r="A49" s="22"/>
      <c r="B49" s="22" t="str">
        <f>'Workbook Index'!B49</f>
        <v>Roots, Radish/Turnip</v>
      </c>
      <c r="C49" s="58">
        <f t="shared" si="0"/>
        <v>120.62769230769231</v>
      </c>
      <c r="D49" s="1216" t="s">
        <v>811</v>
      </c>
      <c r="E49" s="172"/>
      <c r="F49" s="172"/>
      <c r="G49" s="172"/>
      <c r="H49" s="294"/>
      <c r="I49" s="172"/>
      <c r="J49" s="22"/>
      <c r="K49" s="28"/>
      <c r="R49" s="53"/>
      <c r="T49" s="5"/>
    </row>
    <row r="50" spans="1:20" s="28" customFormat="1">
      <c r="A50" s="55"/>
      <c r="B50" s="1199" t="str">
        <f>'Workbook Index'!B48</f>
        <v>Potatoes, Sweet</v>
      </c>
      <c r="C50" s="1201">
        <f t="shared" si="0"/>
        <v>225</v>
      </c>
      <c r="D50" s="1230" t="s">
        <v>812</v>
      </c>
      <c r="E50" s="1231"/>
      <c r="F50" s="1231"/>
      <c r="G50" s="1231"/>
      <c r="H50" s="1232"/>
      <c r="I50" s="1231"/>
      <c r="J50" s="48"/>
      <c r="R50" s="181"/>
    </row>
    <row r="51" spans="1:20">
      <c r="A51" s="22"/>
      <c r="B51" s="22"/>
      <c r="C51" s="58"/>
      <c r="D51" s="1217"/>
      <c r="E51" s="241"/>
      <c r="F51" s="241"/>
      <c r="G51" s="241"/>
      <c r="H51" s="241"/>
      <c r="I51" s="241"/>
      <c r="K51" s="28"/>
      <c r="R51" s="53"/>
      <c r="T51" s="5"/>
    </row>
    <row r="52" spans="1:20">
      <c r="A52" s="22"/>
      <c r="B52" s="69" t="s">
        <v>651</v>
      </c>
      <c r="C52" s="257"/>
      <c r="D52" s="1305" t="s">
        <v>455</v>
      </c>
      <c r="E52" s="1305"/>
      <c r="F52" s="1305"/>
      <c r="G52" s="1305"/>
      <c r="H52" s="1305"/>
      <c r="I52" s="1305"/>
      <c r="K52" s="28"/>
      <c r="R52" s="53"/>
      <c r="T52" s="5"/>
    </row>
    <row r="53" spans="1:20">
      <c r="A53" s="22"/>
      <c r="B53" s="83"/>
      <c r="C53" s="257"/>
      <c r="D53" s="55"/>
      <c r="E53" s="240"/>
      <c r="F53" s="240"/>
      <c r="G53" s="55"/>
      <c r="H53" s="240"/>
      <c r="I53" s="306" t="s">
        <v>332</v>
      </c>
      <c r="K53" s="28"/>
      <c r="R53" s="53"/>
      <c r="T53" s="5"/>
    </row>
    <row r="54" spans="1:20">
      <c r="A54" s="22"/>
      <c r="B54" s="1199" t="str">
        <f>B40</f>
        <v>Beans, Green</v>
      </c>
      <c r="C54" s="1201">
        <f>G180</f>
        <v>105.79815187376725</v>
      </c>
      <c r="D54" s="1199"/>
      <c r="E54" s="1233"/>
      <c r="F54" s="1199"/>
      <c r="G54" s="1199"/>
      <c r="H54" s="1233"/>
      <c r="I54" s="1234">
        <f>H180</f>
        <v>3</v>
      </c>
      <c r="K54" s="28"/>
      <c r="R54" s="53"/>
      <c r="T54" s="5"/>
    </row>
    <row r="55" spans="1:20">
      <c r="A55" s="22"/>
      <c r="B55" s="1052" t="s">
        <v>928</v>
      </c>
      <c r="C55" s="618">
        <f>G185</f>
        <v>79.532288700479015</v>
      </c>
      <c r="D55" s="22"/>
      <c r="E55" s="308"/>
      <c r="F55" s="22"/>
      <c r="G55" s="22"/>
      <c r="H55" s="308"/>
      <c r="I55" s="1218">
        <f>H185</f>
        <v>4</v>
      </c>
      <c r="K55" s="28"/>
      <c r="R55" s="53"/>
      <c r="T55" s="5"/>
    </row>
    <row r="56" spans="1:20">
      <c r="A56" s="22"/>
      <c r="B56" s="1199" t="str">
        <f>B44</f>
        <v>Corn, Sweet</v>
      </c>
      <c r="C56" s="1201">
        <f>G189</f>
        <v>60.738229191321501</v>
      </c>
      <c r="D56" s="1199"/>
      <c r="E56" s="1233"/>
      <c r="F56" s="1199"/>
      <c r="G56" s="1199"/>
      <c r="H56" s="1233"/>
      <c r="I56" s="1234">
        <f>H189</f>
        <v>2</v>
      </c>
      <c r="K56" s="28"/>
      <c r="R56" s="53"/>
      <c r="T56" s="5"/>
    </row>
    <row r="57" spans="1:20">
      <c r="A57" s="22"/>
      <c r="B57" s="1052" t="s">
        <v>331</v>
      </c>
      <c r="C57" s="618">
        <f>G192</f>
        <v>41.093801870748301</v>
      </c>
      <c r="D57" s="22"/>
      <c r="E57" s="308"/>
      <c r="F57" s="22"/>
      <c r="G57" s="22"/>
      <c r="H57" s="308"/>
      <c r="I57" s="1218">
        <f>H192</f>
        <v>3</v>
      </c>
      <c r="K57" s="28"/>
      <c r="R57" s="53"/>
      <c r="T57" s="5"/>
    </row>
    <row r="58" spans="1:20">
      <c r="A58" s="22"/>
      <c r="B58" s="1199" t="str">
        <f>B45</f>
        <v>Garlic</v>
      </c>
      <c r="C58" s="1201">
        <f>G194</f>
        <v>25.750775510204083</v>
      </c>
      <c r="D58" s="1199"/>
      <c r="E58" s="1233"/>
      <c r="F58" s="1199"/>
      <c r="G58" s="1199"/>
      <c r="H58" s="1233"/>
      <c r="I58" s="1234">
        <f>H194</f>
        <v>3</v>
      </c>
      <c r="K58" s="28"/>
      <c r="R58" s="53"/>
      <c r="T58" s="5"/>
    </row>
    <row r="59" spans="1:20">
      <c r="A59" s="22"/>
      <c r="B59" s="1052" t="str">
        <f>'Workbook Index'!B44</f>
        <v>Muskmelon (Cantaloupe)</v>
      </c>
      <c r="C59" s="618">
        <f>G198</f>
        <v>183.59469765684057</v>
      </c>
      <c r="D59" s="22"/>
      <c r="E59" s="308"/>
      <c r="F59" s="22"/>
      <c r="G59" s="22"/>
      <c r="H59" s="308"/>
      <c r="I59" s="1218">
        <f>H198</f>
        <v>5</v>
      </c>
      <c r="K59" s="28"/>
      <c r="R59" s="53"/>
      <c r="T59" s="5"/>
    </row>
    <row r="60" spans="1:20">
      <c r="A60" s="22"/>
      <c r="B60" s="1199" t="s">
        <v>333</v>
      </c>
      <c r="C60" s="1201">
        <f>G201</f>
        <v>50.644084615384614</v>
      </c>
      <c r="D60" s="1199"/>
      <c r="E60" s="1233"/>
      <c r="F60" s="1199"/>
      <c r="G60" s="1199"/>
      <c r="H60" s="1233"/>
      <c r="I60" s="1234">
        <f>H201</f>
        <v>3</v>
      </c>
      <c r="K60" s="28"/>
      <c r="R60" s="53"/>
      <c r="T60" s="5"/>
    </row>
    <row r="61" spans="1:20">
      <c r="A61" s="22"/>
      <c r="B61" s="1052" t="str">
        <f>B48</f>
        <v>Potatoes</v>
      </c>
      <c r="C61" s="618">
        <f>G204</f>
        <v>119.42617652777778</v>
      </c>
      <c r="D61" s="22"/>
      <c r="E61" s="308"/>
      <c r="F61" s="22"/>
      <c r="G61" s="22"/>
      <c r="H61" s="308"/>
      <c r="I61" s="1218">
        <f>H204</f>
        <v>3</v>
      </c>
      <c r="K61" s="28"/>
      <c r="R61" s="53"/>
      <c r="T61" s="5"/>
    </row>
    <row r="62" spans="1:20">
      <c r="A62" s="22"/>
      <c r="B62" s="1199" t="s">
        <v>334</v>
      </c>
      <c r="C62" s="1201">
        <f>G208</f>
        <v>217.77238542705967</v>
      </c>
      <c r="D62" s="1199"/>
      <c r="E62" s="1233"/>
      <c r="F62" s="1199"/>
      <c r="G62" s="1199"/>
      <c r="H62" s="1233"/>
      <c r="I62" s="1234">
        <f>H208</f>
        <v>4</v>
      </c>
      <c r="J62" s="70"/>
      <c r="K62" s="28"/>
      <c r="R62" s="53"/>
      <c r="T62" s="5"/>
    </row>
    <row r="63" spans="1:20">
      <c r="A63" s="22"/>
      <c r="B63" s="1052" t="str">
        <f>'Workbook Index'!B52</f>
        <v>Squash, Winter</v>
      </c>
      <c r="C63" s="618">
        <f>G211</f>
        <v>153.53688378684805</v>
      </c>
      <c r="D63" s="22"/>
      <c r="E63" s="308"/>
      <c r="F63" s="22"/>
      <c r="G63" s="22"/>
      <c r="H63" s="308"/>
      <c r="I63" s="1218">
        <f>H211</f>
        <v>5</v>
      </c>
      <c r="J63" s="22"/>
      <c r="R63" s="53"/>
      <c r="T63" s="5"/>
    </row>
    <row r="64" spans="1:20" ht="16" customHeight="1">
      <c r="A64" s="22"/>
      <c r="B64" s="1199" t="str">
        <f>'Workbook Index'!B53</f>
        <v>Tomatoes</v>
      </c>
      <c r="C64" s="1201">
        <f>G214</f>
        <v>87.988782585470062</v>
      </c>
      <c r="D64" s="1199"/>
      <c r="E64" s="1233"/>
      <c r="F64" s="1199"/>
      <c r="G64" s="1199"/>
      <c r="H64" s="1233"/>
      <c r="I64" s="1234">
        <f>H214</f>
        <v>6</v>
      </c>
      <c r="J64" s="22"/>
      <c r="R64" s="53"/>
      <c r="T64" s="5"/>
    </row>
    <row r="65" spans="1:20" ht="16" customHeight="1">
      <c r="B65" s="55"/>
      <c r="C65" s="58"/>
      <c r="D65" s="240"/>
      <c r="E65" s="240"/>
      <c r="F65" s="240"/>
      <c r="G65" s="240"/>
      <c r="H65" s="240"/>
      <c r="I65" s="240"/>
      <c r="J65" s="22"/>
      <c r="R65" s="53"/>
      <c r="T65" s="5"/>
    </row>
    <row r="66" spans="1:20">
      <c r="B66" s="69" t="s">
        <v>606</v>
      </c>
      <c r="C66" s="1225"/>
      <c r="D66" s="1305" t="s">
        <v>456</v>
      </c>
      <c r="E66" s="1305"/>
      <c r="F66" s="1305"/>
      <c r="G66" s="1305"/>
      <c r="H66" s="1305"/>
      <c r="I66" s="1305"/>
      <c r="J66" s="22"/>
      <c r="R66" s="53"/>
      <c r="T66" s="5"/>
    </row>
    <row r="67" spans="1:20" ht="29" customHeight="1">
      <c r="B67" s="1204" t="str">
        <f>B220</f>
        <v>Sani-Date 5.0 Wash Water Sanitizer</v>
      </c>
      <c r="C67" s="1229">
        <f>H220</f>
        <v>91.297297297297291</v>
      </c>
      <c r="D67" s="1309" t="s">
        <v>557</v>
      </c>
      <c r="E67" s="1309"/>
      <c r="F67" s="1309"/>
      <c r="G67" s="1309"/>
      <c r="H67" s="1309"/>
      <c r="I67" s="1309"/>
      <c r="J67" s="22"/>
      <c r="R67" s="53"/>
      <c r="T67" s="5"/>
    </row>
    <row r="68" spans="1:20" ht="31" customHeight="1">
      <c r="B68" s="1215" t="s">
        <v>350</v>
      </c>
      <c r="C68" s="618">
        <f>H225</f>
        <v>62.749694749694754</v>
      </c>
      <c r="D68" s="1306" t="str">
        <f>I223</f>
        <v>Costs associated with 2 harvests of Salad Greens, 1 harvest of all Carrots, half of all planted Beets, and all Green Beans, source: UKCSA expense records</v>
      </c>
      <c r="E68" s="1307"/>
      <c r="F68" s="1307"/>
      <c r="G68" s="1307"/>
      <c r="H68" s="1307"/>
      <c r="I68" s="1307"/>
      <c r="J68" s="22"/>
      <c r="R68" s="53"/>
      <c r="T68" s="5"/>
    </row>
    <row r="69" spans="1:20">
      <c r="B69" s="1199" t="s">
        <v>351</v>
      </c>
      <c r="C69" s="1201">
        <f>I234</f>
        <v>135.66535714285715</v>
      </c>
      <c r="D69" s="1308" t="s">
        <v>593</v>
      </c>
      <c r="E69" s="1308"/>
      <c r="F69" s="1308"/>
      <c r="G69" s="1308"/>
      <c r="H69" s="1308"/>
      <c r="I69" s="1308"/>
      <c r="J69" s="22"/>
      <c r="S69" s="53"/>
      <c r="T69" s="5"/>
    </row>
    <row r="70" spans="1:20" ht="32" customHeight="1">
      <c r="B70" s="1219" t="s">
        <v>357</v>
      </c>
      <c r="C70" s="432">
        <f>G237</f>
        <v>87.11995499999999</v>
      </c>
      <c r="D70" s="1306" t="s">
        <v>698</v>
      </c>
      <c r="E70" s="1306"/>
      <c r="F70" s="1306"/>
      <c r="G70" s="1306"/>
      <c r="H70" s="1306"/>
      <c r="I70" s="1306"/>
      <c r="S70" s="53"/>
      <c r="T70" s="5"/>
    </row>
    <row r="71" spans="1:20">
      <c r="B71" s="1199" t="s">
        <v>102</v>
      </c>
      <c r="C71" s="1201">
        <f>80*1.35</f>
        <v>108</v>
      </c>
      <c r="D71" s="1308" t="s">
        <v>558</v>
      </c>
      <c r="E71" s="1308"/>
      <c r="F71" s="1308"/>
      <c r="G71" s="1308"/>
      <c r="H71" s="1308"/>
      <c r="I71" s="1308"/>
      <c r="J71" s="22"/>
      <c r="S71" s="53"/>
      <c r="T71" s="5"/>
    </row>
    <row r="72" spans="1:20">
      <c r="B72" s="22"/>
      <c r="C72" s="22"/>
      <c r="D72" s="22"/>
      <c r="E72" s="22"/>
      <c r="F72" s="22"/>
      <c r="G72" s="55"/>
      <c r="H72" s="55"/>
      <c r="I72" s="55"/>
      <c r="J72" s="22"/>
    </row>
    <row r="73" spans="1:20" s="28" customFormat="1">
      <c r="A73" s="88"/>
      <c r="B73" s="22"/>
      <c r="C73" s="22"/>
      <c r="D73" s="22"/>
      <c r="E73" s="22"/>
      <c r="F73" s="22"/>
      <c r="G73" s="55"/>
      <c r="H73" s="55"/>
      <c r="I73" s="55"/>
      <c r="J73" s="22"/>
      <c r="K73" s="88"/>
      <c r="T73" s="181"/>
    </row>
    <row r="74" spans="1:20" s="28" customFormat="1">
      <c r="A74" s="88"/>
      <c r="B74" s="5"/>
      <c r="C74" s="5"/>
      <c r="D74" s="5"/>
      <c r="F74" s="5"/>
      <c r="G74" s="55"/>
      <c r="H74" s="55"/>
      <c r="I74" s="55"/>
      <c r="J74" s="5"/>
      <c r="K74" s="88"/>
      <c r="T74" s="181"/>
    </row>
    <row r="75" spans="1:20" s="28" customFormat="1">
      <c r="B75" s="5"/>
      <c r="C75" s="5"/>
      <c r="D75" s="5"/>
      <c r="E75" s="5"/>
      <c r="F75" s="5"/>
      <c r="G75" s="5"/>
      <c r="I75" s="5"/>
      <c r="J75" s="5"/>
      <c r="T75" s="181"/>
    </row>
    <row r="76" spans="1:20" s="28" customFormat="1">
      <c r="B76" s="93"/>
      <c r="C76" s="88"/>
      <c r="D76" s="88"/>
      <c r="E76" s="88"/>
      <c r="F76" s="88"/>
      <c r="G76" s="88"/>
      <c r="H76" s="88"/>
      <c r="I76" s="88"/>
      <c r="J76" s="88"/>
      <c r="L76" s="69"/>
      <c r="M76" s="69"/>
      <c r="N76" s="69"/>
      <c r="O76" s="69"/>
      <c r="P76" s="69"/>
      <c r="T76" s="181"/>
    </row>
    <row r="77" spans="1:20" s="269" customFormat="1" ht="16" thickBot="1">
      <c r="B77" s="171"/>
      <c r="C77" s="171"/>
      <c r="D77" s="171"/>
      <c r="E77" s="171"/>
      <c r="F77" s="88"/>
      <c r="G77" s="88"/>
      <c r="H77" s="28"/>
      <c r="I77" s="28"/>
      <c r="J77" s="28"/>
      <c r="L77" s="271"/>
      <c r="M77" s="271"/>
      <c r="R77" s="272"/>
    </row>
    <row r="78" spans="1:20" s="28" customFormat="1" ht="15" customHeight="1" thickBot="1">
      <c r="B78" s="642" t="s">
        <v>600</v>
      </c>
      <c r="C78" s="643"/>
      <c r="D78" s="643"/>
      <c r="E78" s="643"/>
      <c r="F78" s="643"/>
      <c r="G78" s="643"/>
      <c r="H78" s="643"/>
      <c r="I78" s="643"/>
      <c r="J78" s="643"/>
      <c r="K78" s="644"/>
      <c r="L78" s="55"/>
      <c r="M78" s="55"/>
      <c r="R78" s="181"/>
    </row>
    <row r="79" spans="1:20" s="28" customFormat="1">
      <c r="B79" s="688" t="s">
        <v>405</v>
      </c>
      <c r="C79" s="689"/>
      <c r="D79" s="689"/>
      <c r="E79" s="689"/>
      <c r="F79" s="689"/>
      <c r="G79" s="689"/>
      <c r="H79" s="689"/>
      <c r="I79" s="689"/>
      <c r="J79" s="689"/>
      <c r="K79" s="690"/>
      <c r="L79" s="83"/>
      <c r="M79" s="55"/>
      <c r="R79" s="181"/>
    </row>
    <row r="80" spans="1:20" s="28" customFormat="1" ht="60">
      <c r="B80" s="674" t="s">
        <v>538</v>
      </c>
      <c r="C80" s="625" t="s">
        <v>437</v>
      </c>
      <c r="D80" s="649" t="s">
        <v>770</v>
      </c>
      <c r="E80" s="649" t="s">
        <v>769</v>
      </c>
      <c r="F80" s="625" t="s">
        <v>771</v>
      </c>
      <c r="G80" s="625" t="s">
        <v>772</v>
      </c>
      <c r="H80" s="625" t="s">
        <v>773</v>
      </c>
      <c r="I80" s="625" t="s">
        <v>607</v>
      </c>
      <c r="J80" s="1301" t="s">
        <v>630</v>
      </c>
      <c r="K80" s="1312"/>
      <c r="L80" s="55"/>
      <c r="M80" s="55"/>
      <c r="R80" s="181"/>
    </row>
    <row r="81" spans="2:20" s="28" customFormat="1" ht="16" customHeight="1">
      <c r="B81" s="668" t="str">
        <f>B10</f>
        <v>NatureSafe (10-2-8) pelleted poultry litter fertilizer: bareground</v>
      </c>
      <c r="C81" s="91">
        <f>'BW1-Bed and Row Spacing'!J9</f>
        <v>6701.5384615384619</v>
      </c>
      <c r="D81" s="291">
        <v>60</v>
      </c>
      <c r="E81" s="291">
        <v>200</v>
      </c>
      <c r="F81" s="239">
        <f>E81/C81</f>
        <v>2.9843893480257115E-2</v>
      </c>
      <c r="G81" s="91">
        <f>F81*C81</f>
        <v>200</v>
      </c>
      <c r="H81" s="91">
        <f>G81/50</f>
        <v>4</v>
      </c>
      <c r="I81" s="257">
        <f>31*H81</f>
        <v>124</v>
      </c>
      <c r="J81" s="1295" t="s">
        <v>777</v>
      </c>
      <c r="K81" s="1296"/>
      <c r="L81" s="55"/>
      <c r="M81" s="55"/>
      <c r="R81" s="181"/>
    </row>
    <row r="82" spans="2:20" s="28" customFormat="1">
      <c r="B82" s="668" t="str">
        <f>B11</f>
        <v>NatureSafe (10-2-8) pelleted poultry litter fertilizer: plasticulture on 84" bed spacing</v>
      </c>
      <c r="C82" s="91">
        <f>'BW1-Bed and Row Spacing'!J26</f>
        <v>2074.2857142857142</v>
      </c>
      <c r="D82" s="176">
        <v>90</v>
      </c>
      <c r="E82" s="176">
        <f>300</f>
        <v>300</v>
      </c>
      <c r="F82" s="239">
        <f>E82/C82</f>
        <v>0.14462809917355374</v>
      </c>
      <c r="G82" s="91">
        <f>F82*C82</f>
        <v>300</v>
      </c>
      <c r="H82" s="91">
        <f>G82/50</f>
        <v>6</v>
      </c>
      <c r="I82" s="257">
        <f>31*H82</f>
        <v>186</v>
      </c>
      <c r="J82" s="1262"/>
      <c r="K82" s="1297"/>
      <c r="L82" s="62"/>
      <c r="M82" s="62"/>
      <c r="N82" s="55"/>
      <c r="T82" s="181"/>
    </row>
    <row r="83" spans="2:20" s="28" customFormat="1">
      <c r="B83" s="668" t="str">
        <f>B12</f>
        <v>NatureSafe (10-2-8) pelleted poultry litter fertilizer: plasticulture on 96" bed spacing</v>
      </c>
      <c r="C83" s="91">
        <f>'BW1-Bed and Row Spacing'!J35</f>
        <v>1815</v>
      </c>
      <c r="D83" s="176">
        <v>90</v>
      </c>
      <c r="E83" s="176">
        <f>300</f>
        <v>300</v>
      </c>
      <c r="F83" s="239">
        <f>E83/C83</f>
        <v>0.16528925619834711</v>
      </c>
      <c r="G83" s="91">
        <f>F83*C83</f>
        <v>300</v>
      </c>
      <c r="H83" s="91">
        <f>G83/50</f>
        <v>6</v>
      </c>
      <c r="I83" s="257">
        <f>31*H83</f>
        <v>186</v>
      </c>
      <c r="J83" s="1262"/>
      <c r="K83" s="1297"/>
      <c r="L83" s="62"/>
      <c r="M83" s="62"/>
      <c r="N83" s="55"/>
      <c r="T83" s="181"/>
    </row>
    <row r="84" spans="2:20" s="28" customFormat="1">
      <c r="B84" s="668" t="str">
        <f>B13</f>
        <v>NatureSafe (10-2-8) pelleted poultry litter fertilizer: potatoes</v>
      </c>
      <c r="C84" s="91">
        <f>'BW1-Bed and Row Spacing'!J29</f>
        <v>4840</v>
      </c>
      <c r="D84" s="291">
        <v>75</v>
      </c>
      <c r="E84" s="291">
        <f>750/3</f>
        <v>250</v>
      </c>
      <c r="F84" s="239">
        <f>E84/C84</f>
        <v>5.1652892561983473E-2</v>
      </c>
      <c r="G84" s="91">
        <f>(F84*C84)</f>
        <v>250</v>
      </c>
      <c r="H84" s="91">
        <f>G84/50</f>
        <v>5</v>
      </c>
      <c r="I84" s="257">
        <f>31*H84</f>
        <v>155</v>
      </c>
      <c r="J84" s="1262"/>
      <c r="K84" s="1297"/>
      <c r="L84" s="62"/>
      <c r="M84" s="62"/>
      <c r="N84" s="55"/>
      <c r="T84" s="181"/>
    </row>
    <row r="85" spans="2:20" s="28" customFormat="1">
      <c r="B85" s="671"/>
      <c r="C85" s="279"/>
      <c r="D85" s="83"/>
      <c r="E85" s="83"/>
      <c r="F85" s="295"/>
      <c r="G85" s="198"/>
      <c r="H85" s="198"/>
      <c r="I85" s="296"/>
      <c r="J85" s="1262"/>
      <c r="K85" s="1297"/>
      <c r="L85" s="62"/>
      <c r="M85" s="62"/>
      <c r="N85" s="55"/>
      <c r="T85" s="181"/>
    </row>
    <row r="86" spans="2:20" s="28" customFormat="1">
      <c r="B86" s="691" t="s">
        <v>404</v>
      </c>
      <c r="C86" s="689"/>
      <c r="D86" s="689"/>
      <c r="E86" s="689"/>
      <c r="F86" s="689"/>
      <c r="G86" s="689"/>
      <c r="H86" s="689"/>
      <c r="I86" s="689"/>
      <c r="J86" s="689"/>
      <c r="K86" s="690"/>
      <c r="L86" s="62"/>
      <c r="M86" s="62"/>
      <c r="N86" s="55"/>
      <c r="T86" s="181"/>
    </row>
    <row r="87" spans="2:20" s="28" customFormat="1" ht="30">
      <c r="B87" s="674" t="s">
        <v>538</v>
      </c>
      <c r="C87" s="625" t="s">
        <v>554</v>
      </c>
      <c r="D87" s="652" t="s">
        <v>197</v>
      </c>
      <c r="E87" s="625" t="s">
        <v>551</v>
      </c>
      <c r="F87" s="625" t="s">
        <v>263</v>
      </c>
      <c r="G87" s="625" t="s">
        <v>127</v>
      </c>
      <c r="H87" s="1301" t="s">
        <v>630</v>
      </c>
      <c r="I87" s="1301"/>
      <c r="J87" s="650"/>
      <c r="K87" s="434"/>
      <c r="L87" s="62"/>
      <c r="M87" s="62"/>
      <c r="N87" s="55"/>
      <c r="T87" s="181"/>
    </row>
    <row r="88" spans="2:20" s="28" customFormat="1" ht="29" customHeight="1">
      <c r="B88" s="680" t="str">
        <f>B14</f>
        <v>Phytamin (4-3-4) soluble fish fertilizer</v>
      </c>
      <c r="C88" s="300">
        <v>360</v>
      </c>
      <c r="D88" s="801" t="s">
        <v>258</v>
      </c>
      <c r="E88" s="300">
        <f>C88/50</f>
        <v>7.2</v>
      </c>
      <c r="F88" s="767">
        <v>5</v>
      </c>
      <c r="G88" s="908">
        <f>E88*F88</f>
        <v>36</v>
      </c>
      <c r="H88" s="1289" t="s">
        <v>813</v>
      </c>
      <c r="I88" s="1289"/>
      <c r="J88" s="1289"/>
      <c r="K88" s="1290"/>
      <c r="L88" s="62"/>
      <c r="M88" s="62"/>
      <c r="N88" s="55"/>
      <c r="T88" s="181"/>
    </row>
    <row r="89" spans="2:20" s="28" customFormat="1" ht="32" customHeight="1">
      <c r="B89" s="680" t="str">
        <f>B15</f>
        <v>Sodium Nitrate (16-0-0) soluble organic fertilizer</v>
      </c>
      <c r="C89" s="300">
        <v>34</v>
      </c>
      <c r="D89" s="801" t="s">
        <v>260</v>
      </c>
      <c r="E89" s="300">
        <f>C89/50</f>
        <v>0.68</v>
      </c>
      <c r="F89" s="767">
        <v>25</v>
      </c>
      <c r="G89" s="300">
        <f>E89*F89</f>
        <v>17</v>
      </c>
      <c r="H89" s="1291" t="s">
        <v>778</v>
      </c>
      <c r="I89" s="1291"/>
      <c r="J89" s="1291"/>
      <c r="K89" s="1292"/>
      <c r="L89" s="62"/>
      <c r="M89" s="62"/>
      <c r="N89" s="55"/>
      <c r="T89" s="181"/>
    </row>
    <row r="90" spans="2:20" s="28" customFormat="1" ht="29" customHeight="1">
      <c r="B90" s="680" t="str">
        <f>B16</f>
        <v>Potassium Sulfate (0-0-54) soluble organic fertilizer</v>
      </c>
      <c r="C90" s="300">
        <v>39</v>
      </c>
      <c r="D90" s="801" t="s">
        <v>260</v>
      </c>
      <c r="E90" s="300">
        <f>C90/50</f>
        <v>0.78</v>
      </c>
      <c r="F90" s="767">
        <v>12.5</v>
      </c>
      <c r="G90" s="909">
        <f>E90*F90</f>
        <v>9.75</v>
      </c>
      <c r="H90" s="1291" t="s">
        <v>779</v>
      </c>
      <c r="I90" s="1291"/>
      <c r="J90" s="1291"/>
      <c r="K90" s="1292"/>
      <c r="L90" s="62"/>
      <c r="M90" s="62"/>
      <c r="N90" s="55"/>
      <c r="T90" s="181"/>
    </row>
    <row r="91" spans="2:20" s="28" customFormat="1" ht="16" thickBot="1">
      <c r="B91" s="675"/>
      <c r="C91" s="273"/>
      <c r="D91" s="273"/>
      <c r="E91" s="142"/>
      <c r="F91" s="142"/>
      <c r="G91" s="313">
        <f>G89+G90</f>
        <v>26.75</v>
      </c>
      <c r="H91" s="395" t="s">
        <v>899</v>
      </c>
      <c r="I91" s="395"/>
      <c r="J91" s="395"/>
      <c r="K91" s="396"/>
      <c r="L91" s="62"/>
      <c r="M91" s="62"/>
      <c r="N91" s="55"/>
      <c r="T91" s="181"/>
    </row>
    <row r="92" spans="2:20" s="28" customFormat="1">
      <c r="B92" s="55"/>
      <c r="C92" s="91"/>
      <c r="D92" s="91"/>
      <c r="E92" s="55"/>
      <c r="F92" s="55"/>
      <c r="G92" s="299"/>
      <c r="H92" s="148"/>
      <c r="I92" s="148"/>
      <c r="J92" s="148"/>
      <c r="K92" s="148"/>
      <c r="L92" s="55"/>
      <c r="T92" s="181"/>
    </row>
    <row r="93" spans="2:20" s="28" customFormat="1" ht="16" thickBot="1">
      <c r="B93" s="55"/>
      <c r="C93" s="55"/>
      <c r="D93" s="55"/>
      <c r="E93" s="55"/>
      <c r="F93" s="55"/>
      <c r="G93" s="55"/>
      <c r="H93" s="55"/>
      <c r="I93" s="55"/>
      <c r="J93" s="55"/>
      <c r="K93" s="55"/>
      <c r="L93" s="55"/>
      <c r="T93" s="181"/>
    </row>
    <row r="94" spans="2:20" s="28" customFormat="1" ht="16" thickBot="1">
      <c r="B94" s="645" t="s">
        <v>900</v>
      </c>
      <c r="C94" s="646"/>
      <c r="D94" s="646"/>
      <c r="E94" s="646"/>
      <c r="F94" s="646"/>
      <c r="G94" s="646"/>
      <c r="H94" s="646"/>
      <c r="I94" s="646"/>
      <c r="J94" s="646"/>
      <c r="K94" s="647"/>
      <c r="L94" s="55"/>
      <c r="T94" s="181"/>
    </row>
    <row r="95" spans="2:20" s="28" customFormat="1" ht="30">
      <c r="B95" s="676" t="s">
        <v>538</v>
      </c>
      <c r="C95" s="653" t="s">
        <v>552</v>
      </c>
      <c r="D95" s="654" t="s">
        <v>553</v>
      </c>
      <c r="E95" s="653" t="s">
        <v>548</v>
      </c>
      <c r="F95" s="653" t="s">
        <v>437</v>
      </c>
      <c r="G95" s="585" t="s">
        <v>540</v>
      </c>
      <c r="H95" s="1317" t="s">
        <v>630</v>
      </c>
      <c r="I95" s="1318"/>
      <c r="J95" s="655"/>
      <c r="K95" s="656"/>
      <c r="L95" s="55"/>
      <c r="T95" s="181"/>
    </row>
    <row r="96" spans="2:20" s="28" customFormat="1" ht="15" customHeight="1">
      <c r="B96" s="677" t="str">
        <f t="shared" ref="B96:B101" si="1">B19</f>
        <v>Plastic mulch for 84" bed spacing</v>
      </c>
      <c r="C96" s="298">
        <v>90</v>
      </c>
      <c r="D96" s="176">
        <v>2400</v>
      </c>
      <c r="E96" s="298">
        <f t="shared" ref="E96:E101" si="2">C96/D96</f>
        <v>3.7499999999999999E-2</v>
      </c>
      <c r="F96" s="91">
        <f>'BW1-Bed and Row Spacing'!J26</f>
        <v>2074.2857142857142</v>
      </c>
      <c r="G96" s="299">
        <f t="shared" ref="G96:G101" si="3">F96*E96</f>
        <v>77.785714285714278</v>
      </c>
      <c r="H96" s="285" t="s">
        <v>814</v>
      </c>
      <c r="I96" s="148"/>
      <c r="J96" s="297"/>
      <c r="K96" s="199"/>
      <c r="L96" s="55"/>
      <c r="T96" s="181"/>
    </row>
    <row r="97" spans="1:21" s="28" customFormat="1" ht="15" customHeight="1">
      <c r="B97" s="677" t="str">
        <f t="shared" si="1"/>
        <v>Plastic mulch for 96" bed spacing</v>
      </c>
      <c r="C97" s="298">
        <v>90</v>
      </c>
      <c r="D97" s="176">
        <v>2400</v>
      </c>
      <c r="E97" s="298">
        <f t="shared" si="2"/>
        <v>3.7499999999999999E-2</v>
      </c>
      <c r="F97" s="91">
        <f>'BW1-Bed and Row Spacing'!J35</f>
        <v>1815</v>
      </c>
      <c r="G97" s="432">
        <f t="shared" si="3"/>
        <v>68.0625</v>
      </c>
      <c r="H97" s="285" t="s">
        <v>815</v>
      </c>
      <c r="I97" s="148"/>
      <c r="J97" s="297"/>
      <c r="K97" s="199"/>
      <c r="L97" s="55"/>
      <c r="T97" s="181"/>
    </row>
    <row r="98" spans="1:21" s="28" customFormat="1" ht="15" customHeight="1">
      <c r="B98" s="677" t="str">
        <f t="shared" si="1"/>
        <v>Toro Aqua-Traxx 8 mil 12" drip tape for 84" plasticulture production</v>
      </c>
      <c r="C98" s="298">
        <v>140</v>
      </c>
      <c r="D98" s="176">
        <v>7500</v>
      </c>
      <c r="E98" s="298">
        <f t="shared" si="2"/>
        <v>1.8666666666666668E-2</v>
      </c>
      <c r="F98" s="91">
        <f>'BW1-Bed and Row Spacing'!J33</f>
        <v>2074.2857142857142</v>
      </c>
      <c r="G98" s="432">
        <f t="shared" si="3"/>
        <v>38.72</v>
      </c>
      <c r="H98" s="1298" t="s">
        <v>767</v>
      </c>
      <c r="I98" s="1299"/>
      <c r="J98" s="1299"/>
      <c r="K98" s="1298"/>
      <c r="L98" s="55"/>
      <c r="T98" s="181"/>
    </row>
    <row r="99" spans="1:21" s="28" customFormat="1" ht="16" customHeight="1">
      <c r="B99" s="677" t="str">
        <f t="shared" si="1"/>
        <v>Toro Aqua-Traxx 8 mil 12" drip tape for 96" plasticulture production</v>
      </c>
      <c r="C99" s="298">
        <v>140</v>
      </c>
      <c r="D99" s="176">
        <v>7500</v>
      </c>
      <c r="E99" s="298">
        <f t="shared" si="2"/>
        <v>1.8666666666666668E-2</v>
      </c>
      <c r="F99" s="91">
        <f>'BW1-Bed and Row Spacing'!J35</f>
        <v>1815</v>
      </c>
      <c r="G99" s="432">
        <f t="shared" si="3"/>
        <v>33.880000000000003</v>
      </c>
      <c r="H99" s="285" t="s">
        <v>766</v>
      </c>
      <c r="L99" s="55"/>
      <c r="T99" s="181"/>
    </row>
    <row r="100" spans="1:21" s="28" customFormat="1">
      <c r="B100" s="680" t="str">
        <f t="shared" si="1"/>
        <v>Toro Aqua-Traxx 8 mil 8" drip tape for 52" bed spacing on bareground</v>
      </c>
      <c r="C100" s="300">
        <v>140</v>
      </c>
      <c r="D100" s="767">
        <v>7500</v>
      </c>
      <c r="E100" s="300">
        <f t="shared" si="2"/>
        <v>1.8666666666666668E-2</v>
      </c>
      <c r="F100" s="801">
        <f>'BW1-Bed and Row Spacing'!J9</f>
        <v>6701.5384615384619</v>
      </c>
      <c r="G100" s="432">
        <f t="shared" si="3"/>
        <v>125.09538461538463</v>
      </c>
      <c r="H100" s="1292" t="s">
        <v>765</v>
      </c>
      <c r="I100" s="1291"/>
      <c r="J100" s="1291"/>
      <c r="K100" s="1292"/>
      <c r="L100" s="55"/>
      <c r="T100" s="181"/>
    </row>
    <row r="101" spans="1:21" s="28" customFormat="1" ht="16" thickBot="1">
      <c r="B101" s="802" t="str">
        <f t="shared" si="1"/>
        <v xml:space="preserve">Toro Aqua-Traxx 8 mil 8" drip tape for 72" bed spacing on bareground </v>
      </c>
      <c r="C101" s="803">
        <v>140</v>
      </c>
      <c r="D101" s="804">
        <v>7500</v>
      </c>
      <c r="E101" s="803">
        <f t="shared" si="2"/>
        <v>1.8666666666666668E-2</v>
      </c>
      <c r="F101" s="805">
        <f>'BW1-Bed and Row Spacing'!J8</f>
        <v>6701.5384615384619</v>
      </c>
      <c r="G101" s="806">
        <f t="shared" si="3"/>
        <v>125.09538461538463</v>
      </c>
      <c r="H101" s="1310" t="s">
        <v>816</v>
      </c>
      <c r="I101" s="1311"/>
      <c r="J101" s="1311"/>
      <c r="K101" s="1310"/>
      <c r="L101" s="55"/>
      <c r="T101" s="181"/>
    </row>
    <row r="102" spans="1:21" s="28" customFormat="1">
      <c r="B102" s="54"/>
      <c r="C102" s="54"/>
      <c r="D102" s="54"/>
      <c r="E102" s="54"/>
      <c r="F102" s="54"/>
      <c r="G102" s="54"/>
      <c r="H102" s="266"/>
      <c r="I102" s="266"/>
      <c r="J102" s="266"/>
      <c r="K102" s="55"/>
      <c r="L102" s="55"/>
      <c r="T102" s="181"/>
    </row>
    <row r="103" spans="1:21" s="28" customFormat="1" ht="16" thickBot="1">
      <c r="A103" s="55"/>
      <c r="B103" s="54"/>
      <c r="C103" s="54"/>
      <c r="D103" s="54"/>
      <c r="E103" s="54"/>
      <c r="F103" s="54"/>
      <c r="G103" s="54"/>
      <c r="H103" s="54"/>
      <c r="I103" s="54"/>
      <c r="J103" s="54"/>
      <c r="K103" s="268"/>
      <c r="L103" s="55"/>
      <c r="T103" s="181"/>
    </row>
    <row r="104" spans="1:21" s="28" customFormat="1" ht="16" thickBot="1">
      <c r="A104" s="55"/>
      <c r="B104" s="645" t="s">
        <v>901</v>
      </c>
      <c r="C104" s="646"/>
      <c r="D104" s="646"/>
      <c r="E104" s="646"/>
      <c r="F104" s="646"/>
      <c r="G104" s="646"/>
      <c r="H104" s="646"/>
      <c r="I104" s="646"/>
      <c r="J104" s="646"/>
      <c r="K104" s="647"/>
      <c r="L104" s="55"/>
      <c r="T104" s="181"/>
    </row>
    <row r="105" spans="1:21" s="28" customFormat="1" ht="15" customHeight="1">
      <c r="A105" s="55"/>
      <c r="B105" s="692" t="s">
        <v>584</v>
      </c>
      <c r="C105" s="693"/>
      <c r="D105" s="693"/>
      <c r="E105" s="693"/>
      <c r="F105" s="693"/>
      <c r="G105" s="693"/>
      <c r="H105" s="693"/>
      <c r="I105" s="693"/>
      <c r="J105" s="693"/>
      <c r="K105" s="694"/>
      <c r="L105" s="61"/>
      <c r="T105" s="181"/>
    </row>
    <row r="106" spans="1:21" s="28" customFormat="1" ht="30">
      <c r="A106" s="55"/>
      <c r="B106" s="674" t="s">
        <v>538</v>
      </c>
      <c r="C106" s="660" t="s">
        <v>197</v>
      </c>
      <c r="D106" s="625" t="s">
        <v>551</v>
      </c>
      <c r="E106" s="625" t="s">
        <v>263</v>
      </c>
      <c r="F106" s="544" t="s">
        <v>540</v>
      </c>
      <c r="G106" s="1301" t="s">
        <v>630</v>
      </c>
      <c r="H106" s="1301"/>
      <c r="I106" s="1301"/>
      <c r="J106" s="429"/>
      <c r="K106" s="429"/>
      <c r="L106" s="434"/>
      <c r="M106" s="62"/>
      <c r="U106" s="181"/>
    </row>
    <row r="107" spans="1:21" s="28" customFormat="1" ht="19" customHeight="1">
      <c r="A107" s="55"/>
      <c r="B107" s="679" t="s">
        <v>583</v>
      </c>
      <c r="C107" s="1082" t="s">
        <v>906</v>
      </c>
      <c r="D107" s="298">
        <f>782+138+39.1</f>
        <v>959.1</v>
      </c>
      <c r="E107" s="90">
        <v>2</v>
      </c>
      <c r="F107" s="298">
        <f t="shared" ref="F107:F114" si="4">D107*E107</f>
        <v>1918.2</v>
      </c>
      <c r="G107" s="610" t="s">
        <v>780</v>
      </c>
      <c r="H107" s="611"/>
      <c r="I107" s="611"/>
      <c r="J107" s="611"/>
      <c r="K107" s="611"/>
      <c r="L107" s="612"/>
      <c r="M107" s="61"/>
      <c r="U107" s="181"/>
    </row>
    <row r="108" spans="1:21" s="28" customFormat="1" ht="17" customHeight="1">
      <c r="A108" s="55"/>
      <c r="B108" s="677" t="s">
        <v>699</v>
      </c>
      <c r="C108" s="1082" t="s">
        <v>902</v>
      </c>
      <c r="D108" s="298">
        <v>2.5</v>
      </c>
      <c r="E108" s="90">
        <v>346</v>
      </c>
      <c r="F108" s="298">
        <f t="shared" si="4"/>
        <v>865</v>
      </c>
      <c r="G108" s="1302" t="s">
        <v>776</v>
      </c>
      <c r="H108" s="1302"/>
      <c r="I108" s="1302"/>
      <c r="J108" s="1302"/>
      <c r="K108" s="1302"/>
      <c r="L108" s="1303"/>
      <c r="M108" s="48"/>
      <c r="N108" s="52"/>
      <c r="U108" s="181"/>
    </row>
    <row r="109" spans="1:21" s="28" customFormat="1">
      <c r="A109" s="55"/>
      <c r="B109" s="677" t="s">
        <v>391</v>
      </c>
      <c r="C109" s="1082" t="s">
        <v>903</v>
      </c>
      <c r="D109" s="298">
        <f>'BW2-Field Act. Labor &amp; Mach.'!$E$84</f>
        <v>13.1921</v>
      </c>
      <c r="E109" s="90">
        <f>(E108/4)/60</f>
        <v>1.4416666666666667</v>
      </c>
      <c r="F109" s="298">
        <f t="shared" si="4"/>
        <v>19.018610833333334</v>
      </c>
      <c r="G109" s="172" t="s">
        <v>648</v>
      </c>
      <c r="H109" s="172"/>
      <c r="I109" s="172"/>
      <c r="J109" s="55"/>
      <c r="K109" s="55"/>
      <c r="L109" s="199"/>
      <c r="M109" s="55"/>
      <c r="U109" s="181"/>
    </row>
    <row r="110" spans="1:21" s="28" customFormat="1" ht="33" customHeight="1">
      <c r="A110" s="55"/>
      <c r="B110" s="680" t="s">
        <v>389</v>
      </c>
      <c r="C110" s="1083" t="s">
        <v>904</v>
      </c>
      <c r="D110" s="300">
        <f>(174/2000)*4</f>
        <v>0.34799999999999998</v>
      </c>
      <c r="E110" s="301">
        <v>228</v>
      </c>
      <c r="F110" s="300">
        <f t="shared" si="4"/>
        <v>79.343999999999994</v>
      </c>
      <c r="G110" s="1291" t="s">
        <v>781</v>
      </c>
      <c r="H110" s="1291"/>
      <c r="I110" s="1291"/>
      <c r="J110" s="1291"/>
      <c r="K110" s="1291"/>
      <c r="L110" s="1292"/>
      <c r="M110" s="55"/>
      <c r="U110" s="181"/>
    </row>
    <row r="111" spans="1:21" s="28" customFormat="1">
      <c r="A111" s="55"/>
      <c r="B111" s="677" t="s">
        <v>196</v>
      </c>
      <c r="C111" s="505" t="s">
        <v>905</v>
      </c>
      <c r="D111" s="298">
        <v>45</v>
      </c>
      <c r="E111" s="90">
        <f>(E110*10)/2000</f>
        <v>1.1399999999999999</v>
      </c>
      <c r="F111" s="298">
        <f t="shared" si="4"/>
        <v>51.3</v>
      </c>
      <c r="G111" s="172" t="s">
        <v>782</v>
      </c>
      <c r="H111" s="172"/>
      <c r="I111" s="172"/>
      <c r="J111" s="55"/>
      <c r="K111" s="55"/>
      <c r="L111" s="199"/>
      <c r="M111" s="55"/>
      <c r="U111" s="181"/>
    </row>
    <row r="112" spans="1:21" s="28" customFormat="1">
      <c r="A112" s="55"/>
      <c r="B112" s="681" t="s">
        <v>390</v>
      </c>
      <c r="C112" s="1084" t="s">
        <v>903</v>
      </c>
      <c r="D112" s="298">
        <f>'BW2-Field Act. Labor &amp; Mach.'!$E$84</f>
        <v>13.1921</v>
      </c>
      <c r="E112" s="90">
        <f>(E110/120)*2</f>
        <v>3.8</v>
      </c>
      <c r="F112" s="298">
        <f t="shared" si="4"/>
        <v>50.129979999999996</v>
      </c>
      <c r="G112" s="172" t="s">
        <v>783</v>
      </c>
      <c r="H112" s="172"/>
      <c r="I112" s="172"/>
      <c r="J112" s="55"/>
      <c r="K112" s="55"/>
      <c r="L112" s="199"/>
      <c r="M112" s="55"/>
      <c r="U112" s="181"/>
    </row>
    <row r="113" spans="1:21" s="28" customFormat="1" ht="31" customHeight="1">
      <c r="A113" s="55"/>
      <c r="B113" s="875" t="s">
        <v>442</v>
      </c>
      <c r="C113" s="1075" t="s">
        <v>907</v>
      </c>
      <c r="D113" s="300">
        <v>42</v>
      </c>
      <c r="E113" s="301">
        <v>4</v>
      </c>
      <c r="F113" s="300">
        <f t="shared" si="4"/>
        <v>168</v>
      </c>
      <c r="G113" s="1291" t="s">
        <v>784</v>
      </c>
      <c r="H113" s="1291"/>
      <c r="I113" s="1291"/>
      <c r="J113" s="1291"/>
      <c r="K113" s="1291"/>
      <c r="L113" s="1292"/>
      <c r="M113" s="55"/>
      <c r="U113" s="181"/>
    </row>
    <row r="114" spans="1:21" s="28" customFormat="1">
      <c r="A114" s="55"/>
      <c r="B114" s="681" t="s">
        <v>700</v>
      </c>
      <c r="C114" s="1084" t="s">
        <v>908</v>
      </c>
      <c r="D114" s="298">
        <v>31</v>
      </c>
      <c r="E114" s="90">
        <v>4</v>
      </c>
      <c r="F114" s="910">
        <f t="shared" si="4"/>
        <v>124</v>
      </c>
      <c r="G114" s="610" t="s">
        <v>785</v>
      </c>
      <c r="H114" s="610"/>
      <c r="I114" s="610"/>
      <c r="J114" s="55"/>
      <c r="K114" s="55"/>
      <c r="L114" s="199"/>
      <c r="M114" s="55"/>
      <c r="U114" s="181"/>
    </row>
    <row r="115" spans="1:21" s="28" customFormat="1">
      <c r="A115" s="55"/>
      <c r="B115" s="911" t="s">
        <v>519</v>
      </c>
      <c r="C115" s="1080"/>
      <c r="D115" s="662"/>
      <c r="E115" s="55"/>
      <c r="F115" s="298">
        <f>SUM(F107:F114)</f>
        <v>3274.9925908333335</v>
      </c>
      <c r="G115" s="610" t="s">
        <v>634</v>
      </c>
      <c r="H115" s="610"/>
      <c r="I115" s="610"/>
      <c r="J115" s="610"/>
      <c r="K115" s="610"/>
      <c r="L115" s="285"/>
      <c r="M115" s="55"/>
      <c r="U115" s="181"/>
    </row>
    <row r="116" spans="1:21" s="28" customFormat="1" ht="31" customHeight="1">
      <c r="A116" s="55"/>
      <c r="B116" s="912" t="s">
        <v>392</v>
      </c>
      <c r="C116" s="1081"/>
      <c r="D116" s="307"/>
      <c r="E116" s="307"/>
      <c r="F116" s="432">
        <f>F115/5</f>
        <v>654.99851816666671</v>
      </c>
      <c r="G116" s="1291" t="s">
        <v>635</v>
      </c>
      <c r="H116" s="1291"/>
      <c r="I116" s="1291"/>
      <c r="J116" s="1291"/>
      <c r="K116" s="1291"/>
      <c r="L116" s="1292"/>
      <c r="M116" s="55"/>
      <c r="U116" s="181"/>
    </row>
    <row r="117" spans="1:21" s="28" customFormat="1">
      <c r="A117" s="55"/>
      <c r="B117" s="695" t="s">
        <v>403</v>
      </c>
      <c r="C117" s="696"/>
      <c r="D117" s="696"/>
      <c r="E117" s="697"/>
      <c r="F117" s="698"/>
      <c r="G117" s="697"/>
      <c r="H117" s="699"/>
      <c r="I117" s="700"/>
      <c r="J117" s="696"/>
      <c r="K117" s="701"/>
      <c r="L117" s="55"/>
      <c r="T117" s="181"/>
    </row>
    <row r="118" spans="1:21" s="28" customFormat="1" ht="30">
      <c r="A118" s="55"/>
      <c r="B118" s="674" t="s">
        <v>538</v>
      </c>
      <c r="C118" s="625" t="s">
        <v>549</v>
      </c>
      <c r="D118" s="625" t="s">
        <v>548</v>
      </c>
      <c r="E118" s="625" t="s">
        <v>929</v>
      </c>
      <c r="F118" s="544" t="s">
        <v>540</v>
      </c>
      <c r="G118" s="1301" t="s">
        <v>630</v>
      </c>
      <c r="H118" s="1301"/>
      <c r="I118" s="1301"/>
      <c r="J118" s="429"/>
      <c r="K118" s="434"/>
      <c r="L118" s="55"/>
      <c r="T118" s="181"/>
    </row>
    <row r="119" spans="1:21" s="28" customFormat="1">
      <c r="A119" s="55"/>
      <c r="B119" s="668" t="s">
        <v>393</v>
      </c>
      <c r="C119" s="48">
        <v>124</v>
      </c>
      <c r="D119" s="658">
        <f>C119/1000</f>
        <v>0.124</v>
      </c>
      <c r="E119" s="801">
        <f>'BW1-Bed and Row Spacing'!J31/'BW1-Bed and Row Spacing'!G31</f>
        <v>3350.7692307692309</v>
      </c>
      <c r="F119" s="48">
        <f>D119*E119</f>
        <v>415.49538461538464</v>
      </c>
      <c r="G119" s="610" t="s">
        <v>649</v>
      </c>
      <c r="H119" s="610"/>
      <c r="I119" s="610"/>
      <c r="J119" s="610"/>
      <c r="K119" s="285"/>
      <c r="L119" s="55"/>
      <c r="M119" s="55"/>
      <c r="N119" s="55"/>
      <c r="T119" s="181"/>
    </row>
    <row r="120" spans="1:21" s="28" customFormat="1" ht="19" customHeight="1">
      <c r="A120" s="55"/>
      <c r="B120" s="671" t="s">
        <v>395</v>
      </c>
      <c r="C120" s="55"/>
      <c r="D120" s="275"/>
      <c r="E120" s="275"/>
      <c r="F120" s="257">
        <f>F119/3</f>
        <v>138.49846153846156</v>
      </c>
      <c r="G120" s="83" t="s">
        <v>636</v>
      </c>
      <c r="H120" s="55"/>
      <c r="I120" s="55"/>
      <c r="J120" s="55"/>
      <c r="K120" s="199"/>
      <c r="L120" s="55"/>
      <c r="M120" s="62"/>
      <c r="N120" s="55"/>
      <c r="T120" s="181"/>
    </row>
    <row r="121" spans="1:21" s="28" customFormat="1" ht="15" customHeight="1">
      <c r="A121" s="55"/>
      <c r="B121" s="688" t="s">
        <v>396</v>
      </c>
      <c r="C121" s="689"/>
      <c r="D121" s="689"/>
      <c r="E121" s="689"/>
      <c r="F121" s="689"/>
      <c r="G121" s="689"/>
      <c r="H121" s="689"/>
      <c r="I121" s="689"/>
      <c r="J121" s="689"/>
      <c r="K121" s="690"/>
      <c r="L121" s="55"/>
      <c r="M121" s="62"/>
      <c r="N121" s="55"/>
      <c r="T121" s="181"/>
    </row>
    <row r="122" spans="1:21" s="28" customFormat="1" ht="30">
      <c r="A122" s="55"/>
      <c r="B122" s="674" t="s">
        <v>538</v>
      </c>
      <c r="C122" s="625" t="s">
        <v>550</v>
      </c>
      <c r="D122" s="625" t="s">
        <v>551</v>
      </c>
      <c r="E122" s="625" t="s">
        <v>263</v>
      </c>
      <c r="F122" s="544" t="s">
        <v>540</v>
      </c>
      <c r="G122" s="1301" t="s">
        <v>630</v>
      </c>
      <c r="H122" s="1301"/>
      <c r="I122" s="1301"/>
      <c r="J122" s="429"/>
      <c r="K122" s="434"/>
      <c r="L122" s="55"/>
      <c r="M122" s="62"/>
      <c r="N122" s="55"/>
      <c r="T122" s="181"/>
    </row>
    <row r="123" spans="1:21" s="28" customFormat="1" ht="31" customHeight="1">
      <c r="A123" s="55"/>
      <c r="B123" s="680" t="s">
        <v>397</v>
      </c>
      <c r="C123" s="303">
        <v>6.5</v>
      </c>
      <c r="D123" s="304">
        <f>C123/6300</f>
        <v>1.0317460317460319E-3</v>
      </c>
      <c r="E123" s="102">
        <f>('BW1-Bed and Row Spacing'!J35)*2*8</f>
        <v>29040</v>
      </c>
      <c r="F123" s="305">
        <f>D123*E123</f>
        <v>29.961904761904766</v>
      </c>
      <c r="G123" s="1291" t="s">
        <v>638</v>
      </c>
      <c r="H123" s="1291"/>
      <c r="I123" s="1291"/>
      <c r="J123" s="1291"/>
      <c r="K123" s="1292"/>
      <c r="L123" s="55"/>
      <c r="M123" s="62"/>
      <c r="N123" s="55"/>
      <c r="T123" s="181"/>
    </row>
    <row r="124" spans="1:21" s="28" customFormat="1" ht="17" customHeight="1">
      <c r="A124" s="55"/>
      <c r="B124" s="682" t="s">
        <v>398</v>
      </c>
      <c r="C124" s="661"/>
      <c r="D124" s="303">
        <v>3.49</v>
      </c>
      <c r="E124" s="307">
        <f>'BW1-Bed and Row Spacing'!J35/3</f>
        <v>605</v>
      </c>
      <c r="F124" s="303">
        <f>D124*E124</f>
        <v>2111.4500000000003</v>
      </c>
      <c r="G124" s="1291" t="s">
        <v>639</v>
      </c>
      <c r="H124" s="1291"/>
      <c r="I124" s="1291"/>
      <c r="J124" s="1291"/>
      <c r="K124" s="1292"/>
      <c r="L124" s="55"/>
      <c r="M124" s="62"/>
      <c r="N124" s="55"/>
      <c r="T124" s="181"/>
    </row>
    <row r="125" spans="1:21" s="55" customFormat="1" ht="16" thickBot="1">
      <c r="B125" s="683" t="s">
        <v>702</v>
      </c>
      <c r="C125" s="214"/>
      <c r="D125" s="214"/>
      <c r="E125" s="142"/>
      <c r="F125" s="258">
        <f>F124/20</f>
        <v>105.57250000000002</v>
      </c>
      <c r="G125" s="1311"/>
      <c r="H125" s="1311"/>
      <c r="I125" s="1311"/>
      <c r="J125" s="1311"/>
      <c r="K125" s="1310"/>
      <c r="M125" s="62"/>
      <c r="T125" s="54"/>
    </row>
    <row r="126" spans="1:21" s="28" customFormat="1">
      <c r="A126" s="55"/>
      <c r="B126" s="148"/>
      <c r="C126" s="179"/>
      <c r="D126" s="179"/>
      <c r="E126" s="55"/>
      <c r="F126" s="257"/>
      <c r="G126" s="266"/>
      <c r="H126" s="266"/>
      <c r="I126" s="266"/>
      <c r="J126" s="266"/>
      <c r="K126" s="266"/>
      <c r="L126" s="63"/>
      <c r="M126" s="62"/>
      <c r="N126" s="55"/>
      <c r="T126" s="181"/>
    </row>
    <row r="127" spans="1:21" s="55" customFormat="1" ht="16" thickBot="1">
      <c r="C127" s="179"/>
      <c r="F127" s="179"/>
      <c r="G127" s="278"/>
      <c r="H127" s="178"/>
      <c r="I127" s="83"/>
      <c r="M127" s="62"/>
      <c r="T127" s="54"/>
    </row>
    <row r="128" spans="1:21" s="28" customFormat="1" ht="16" thickBot="1">
      <c r="A128" s="55"/>
      <c r="B128" s="642" t="s">
        <v>601</v>
      </c>
      <c r="C128" s="643"/>
      <c r="D128" s="643"/>
      <c r="E128" s="643"/>
      <c r="F128" s="643"/>
      <c r="G128" s="643"/>
      <c r="H128" s="643"/>
      <c r="I128" s="643"/>
      <c r="J128" s="643"/>
      <c r="K128" s="663"/>
      <c r="L128" s="55"/>
      <c r="T128" s="181"/>
    </row>
    <row r="129" spans="1:20" s="28" customFormat="1" ht="30">
      <c r="A129" s="55"/>
      <c r="B129" s="648" t="s">
        <v>538</v>
      </c>
      <c r="C129" s="653" t="s">
        <v>130</v>
      </c>
      <c r="D129" s="654" t="s">
        <v>259</v>
      </c>
      <c r="E129" s="654" t="s">
        <v>197</v>
      </c>
      <c r="F129" s="653" t="s">
        <v>930</v>
      </c>
      <c r="G129" s="544" t="s">
        <v>540</v>
      </c>
      <c r="H129" s="1301" t="s">
        <v>630</v>
      </c>
      <c r="I129" s="1301"/>
      <c r="J129" s="1301"/>
      <c r="K129" s="656"/>
      <c r="L129" s="55"/>
      <c r="T129" s="181"/>
    </row>
    <row r="130" spans="1:20" s="28" customFormat="1">
      <c r="A130" s="55"/>
      <c r="B130" s="702" t="s">
        <v>399</v>
      </c>
      <c r="C130" s="703"/>
      <c r="D130" s="703"/>
      <c r="E130" s="703"/>
      <c r="F130" s="703"/>
      <c r="G130" s="703"/>
      <c r="H130" s="703"/>
      <c r="I130" s="703"/>
      <c r="J130" s="703"/>
      <c r="K130" s="704"/>
      <c r="L130" s="55"/>
      <c r="T130" s="181"/>
    </row>
    <row r="131" spans="1:20" s="28" customFormat="1">
      <c r="A131" s="55"/>
      <c r="B131" s="668" t="s">
        <v>274</v>
      </c>
      <c r="C131" s="48">
        <v>23</v>
      </c>
      <c r="D131" s="55">
        <v>56</v>
      </c>
      <c r="E131" s="176" t="s">
        <v>260</v>
      </c>
      <c r="F131" s="91">
        <f>50/3</f>
        <v>16.666666666666668</v>
      </c>
      <c r="G131" s="298">
        <f t="shared" ref="G131:G136" si="5">(C131/D131)*F131</f>
        <v>6.8452380952380958</v>
      </c>
      <c r="H131" s="83" t="s">
        <v>637</v>
      </c>
      <c r="I131" s="55"/>
      <c r="J131" s="55"/>
      <c r="K131" s="199"/>
      <c r="L131" s="55"/>
      <c r="T131" s="181"/>
    </row>
    <row r="132" spans="1:20" s="28" customFormat="1">
      <c r="A132" s="55"/>
      <c r="B132" s="668" t="s">
        <v>275</v>
      </c>
      <c r="C132" s="48">
        <v>130</v>
      </c>
      <c r="D132" s="55">
        <v>50</v>
      </c>
      <c r="E132" s="176" t="s">
        <v>260</v>
      </c>
      <c r="F132" s="91">
        <f>20/3</f>
        <v>6.666666666666667</v>
      </c>
      <c r="G132" s="298">
        <f t="shared" si="5"/>
        <v>17.333333333333336</v>
      </c>
      <c r="H132" s="83" t="s">
        <v>637</v>
      </c>
      <c r="I132" s="55"/>
      <c r="J132" s="55"/>
      <c r="K132" s="199"/>
      <c r="L132" s="55"/>
      <c r="T132" s="181"/>
    </row>
    <row r="133" spans="1:20" s="28" customFormat="1">
      <c r="A133" s="55"/>
      <c r="B133" s="668" t="s">
        <v>273</v>
      </c>
      <c r="C133" s="48">
        <v>11</v>
      </c>
      <c r="D133" s="55">
        <v>32</v>
      </c>
      <c r="E133" s="176" t="s">
        <v>260</v>
      </c>
      <c r="F133" s="91">
        <f>60/3</f>
        <v>20</v>
      </c>
      <c r="G133" s="298">
        <f t="shared" si="5"/>
        <v>6.875</v>
      </c>
      <c r="H133" s="83" t="s">
        <v>637</v>
      </c>
      <c r="I133" s="55"/>
      <c r="J133" s="55"/>
      <c r="K133" s="199"/>
      <c r="L133" s="55"/>
      <c r="T133" s="181"/>
    </row>
    <row r="134" spans="1:20" s="28" customFormat="1">
      <c r="A134" s="55"/>
      <c r="B134" s="668" t="s">
        <v>272</v>
      </c>
      <c r="C134" s="48">
        <v>46</v>
      </c>
      <c r="D134" s="55">
        <v>50</v>
      </c>
      <c r="E134" s="176" t="s">
        <v>260</v>
      </c>
      <c r="F134" s="91">
        <f>50/3</f>
        <v>16.666666666666668</v>
      </c>
      <c r="G134" s="298">
        <f t="shared" si="5"/>
        <v>15.333333333333336</v>
      </c>
      <c r="H134" s="83" t="s">
        <v>637</v>
      </c>
      <c r="I134" s="55"/>
      <c r="J134" s="55"/>
      <c r="K134" s="199"/>
      <c r="L134" s="55"/>
      <c r="T134" s="181"/>
    </row>
    <row r="135" spans="1:20" s="28" customFormat="1">
      <c r="A135" s="55"/>
      <c r="B135" s="668" t="s">
        <v>277</v>
      </c>
      <c r="C135" s="48">
        <v>86</v>
      </c>
      <c r="D135" s="55">
        <v>50</v>
      </c>
      <c r="E135" s="176" t="s">
        <v>260</v>
      </c>
      <c r="F135" s="91">
        <f>15/3</f>
        <v>5</v>
      </c>
      <c r="G135" s="298">
        <f t="shared" si="5"/>
        <v>8.6</v>
      </c>
      <c r="H135" s="83" t="s">
        <v>637</v>
      </c>
      <c r="I135" s="55"/>
      <c r="J135" s="55"/>
      <c r="K135" s="199"/>
      <c r="L135" s="55"/>
      <c r="M135" s="62"/>
      <c r="N135" s="55"/>
      <c r="T135" s="181"/>
    </row>
    <row r="136" spans="1:20" s="28" customFormat="1">
      <c r="A136" s="55"/>
      <c r="B136" s="668" t="s">
        <v>267</v>
      </c>
      <c r="C136" s="48">
        <v>176</v>
      </c>
      <c r="D136" s="55">
        <v>50</v>
      </c>
      <c r="E136" s="176" t="s">
        <v>260</v>
      </c>
      <c r="F136" s="91">
        <f>54/3</f>
        <v>18</v>
      </c>
      <c r="G136" s="298">
        <f t="shared" si="5"/>
        <v>63.36</v>
      </c>
      <c r="H136" s="83" t="s">
        <v>637</v>
      </c>
      <c r="I136" s="55"/>
      <c r="J136" s="55"/>
      <c r="K136" s="199"/>
      <c r="L136" s="55"/>
      <c r="M136" s="62"/>
      <c r="N136" s="55"/>
      <c r="T136" s="181"/>
    </row>
    <row r="137" spans="1:20" s="28" customFormat="1">
      <c r="A137" s="55"/>
      <c r="B137" s="913" t="s">
        <v>932</v>
      </c>
      <c r="C137" s="296"/>
      <c r="D137" s="83"/>
      <c r="E137" s="278"/>
      <c r="F137" s="279"/>
      <c r="G137" s="306">
        <f>G131+G132+G135</f>
        <v>32.778571428571432</v>
      </c>
      <c r="H137" s="55"/>
      <c r="I137" s="55"/>
      <c r="J137" s="55"/>
      <c r="K137" s="199"/>
      <c r="L137" s="55"/>
      <c r="T137" s="181"/>
    </row>
    <row r="138" spans="1:20" s="28" customFormat="1">
      <c r="A138" s="55"/>
      <c r="B138" s="913" t="s">
        <v>933</v>
      </c>
      <c r="C138" s="296"/>
      <c r="D138" s="83"/>
      <c r="E138" s="278"/>
      <c r="F138" s="279"/>
      <c r="G138" s="306">
        <f>G133+G134+G135</f>
        <v>30.808333333333337</v>
      </c>
      <c r="H138" s="55"/>
      <c r="I138" s="55"/>
      <c r="J138" s="55"/>
      <c r="K138" s="199"/>
      <c r="L138" s="55"/>
      <c r="M138" s="55"/>
      <c r="T138" s="181"/>
    </row>
    <row r="139" spans="1:20" s="28" customFormat="1">
      <c r="A139" s="55"/>
      <c r="B139" s="1065" t="s">
        <v>931</v>
      </c>
      <c r="C139" s="48"/>
      <c r="D139" s="55"/>
      <c r="E139" s="176"/>
      <c r="F139" s="91"/>
      <c r="G139" s="299">
        <f>AVERAGE(G137,G138)</f>
        <v>31.793452380952385</v>
      </c>
      <c r="H139" s="83"/>
      <c r="I139" s="55"/>
      <c r="J139" s="55"/>
      <c r="K139" s="199"/>
      <c r="L139" s="55"/>
      <c r="M139" s="55"/>
      <c r="T139" s="181"/>
    </row>
    <row r="140" spans="1:20" s="28" customFormat="1">
      <c r="A140" s="55"/>
      <c r="B140" s="695" t="s">
        <v>400</v>
      </c>
      <c r="C140" s="705"/>
      <c r="D140" s="696"/>
      <c r="E140" s="706"/>
      <c r="F140" s="707"/>
      <c r="G140" s="708"/>
      <c r="H140" s="696"/>
      <c r="I140" s="696"/>
      <c r="J140" s="696"/>
      <c r="K140" s="701"/>
      <c r="L140" s="55"/>
      <c r="M140" s="55"/>
      <c r="T140" s="181"/>
    </row>
    <row r="141" spans="1:20" s="28" customFormat="1">
      <c r="A141" s="55"/>
      <c r="B141" s="668" t="s">
        <v>703</v>
      </c>
      <c r="C141" s="48">
        <v>44</v>
      </c>
      <c r="D141" s="55">
        <v>50</v>
      </c>
      <c r="E141" s="176" t="s">
        <v>260</v>
      </c>
      <c r="F141" s="91">
        <f>80/3</f>
        <v>26.666666666666668</v>
      </c>
      <c r="G141" s="298">
        <f>(C141/D141)*F141</f>
        <v>23.466666666666669</v>
      </c>
      <c r="H141" s="83" t="s">
        <v>637</v>
      </c>
      <c r="I141" s="55"/>
      <c r="J141" s="55"/>
      <c r="K141" s="199"/>
      <c r="L141" s="55"/>
      <c r="T141" s="181"/>
    </row>
    <row r="142" spans="1:20" s="28" customFormat="1">
      <c r="A142" s="55"/>
      <c r="B142" s="668" t="s">
        <v>704</v>
      </c>
      <c r="C142" s="48">
        <v>44</v>
      </c>
      <c r="D142" s="55">
        <v>50</v>
      </c>
      <c r="E142" s="176" t="s">
        <v>260</v>
      </c>
      <c r="F142" s="91">
        <v>10</v>
      </c>
      <c r="G142" s="299">
        <f>(C142/D142)*F142</f>
        <v>8.8000000000000007</v>
      </c>
      <c r="H142" s="83" t="s">
        <v>559</v>
      </c>
      <c r="I142" s="55"/>
      <c r="J142" s="55"/>
      <c r="K142" s="199"/>
      <c r="L142" s="55"/>
      <c r="T142" s="181"/>
    </row>
    <row r="143" spans="1:20" s="28" customFormat="1">
      <c r="A143" s="55"/>
      <c r="B143" s="668" t="s">
        <v>278</v>
      </c>
      <c r="C143" s="48">
        <v>56</v>
      </c>
      <c r="D143" s="55">
        <v>50</v>
      </c>
      <c r="E143" s="176" t="s">
        <v>260</v>
      </c>
      <c r="F143" s="91">
        <f>76/3</f>
        <v>25.333333333333332</v>
      </c>
      <c r="G143" s="298">
        <f>(C143/D143)*F143</f>
        <v>28.373333333333335</v>
      </c>
      <c r="H143" s="83" t="s">
        <v>637</v>
      </c>
      <c r="I143" s="55"/>
      <c r="J143" s="55"/>
      <c r="K143" s="199"/>
      <c r="L143" s="55"/>
      <c r="T143" s="181"/>
    </row>
    <row r="144" spans="1:20" s="28" customFormat="1">
      <c r="A144" s="55"/>
      <c r="B144" s="668" t="s">
        <v>279</v>
      </c>
      <c r="C144" s="48">
        <v>48</v>
      </c>
      <c r="D144" s="55">
        <v>50</v>
      </c>
      <c r="E144" s="176" t="s">
        <v>260</v>
      </c>
      <c r="F144" s="91">
        <f>60/3</f>
        <v>20</v>
      </c>
      <c r="G144" s="298">
        <f>(C144/D144)*F144</f>
        <v>19.2</v>
      </c>
      <c r="H144" s="83" t="s">
        <v>637</v>
      </c>
      <c r="I144" s="55"/>
      <c r="J144" s="55"/>
      <c r="K144" s="199"/>
      <c r="L144" s="55"/>
      <c r="T144" s="181"/>
    </row>
    <row r="145" spans="1:20" s="28" customFormat="1">
      <c r="A145" s="55"/>
      <c r="B145" s="668" t="s">
        <v>280</v>
      </c>
      <c r="C145" s="48">
        <v>52</v>
      </c>
      <c r="D145" s="55">
        <v>50</v>
      </c>
      <c r="E145" s="176" t="s">
        <v>260</v>
      </c>
      <c r="F145" s="91">
        <f>75/3</f>
        <v>25</v>
      </c>
      <c r="G145" s="298">
        <f>(C145/D145)*F145</f>
        <v>26</v>
      </c>
      <c r="H145" s="83" t="s">
        <v>640</v>
      </c>
      <c r="I145" s="55"/>
      <c r="J145" s="55"/>
      <c r="K145" s="199"/>
      <c r="L145" s="55"/>
      <c r="T145" s="181"/>
    </row>
    <row r="146" spans="1:20" s="28" customFormat="1">
      <c r="A146" s="55"/>
      <c r="B146" s="913" t="s">
        <v>285</v>
      </c>
      <c r="C146" s="296"/>
      <c r="D146" s="83"/>
      <c r="E146" s="278"/>
      <c r="F146" s="279"/>
      <c r="G146" s="306">
        <f>G144+G145</f>
        <v>45.2</v>
      </c>
      <c r="H146" s="55"/>
      <c r="I146" s="55"/>
      <c r="J146" s="55"/>
      <c r="K146" s="199"/>
      <c r="L146" s="55"/>
      <c r="T146" s="181"/>
    </row>
    <row r="147" spans="1:20" s="28" customFormat="1">
      <c r="A147" s="55"/>
      <c r="B147" s="1314" t="s">
        <v>287</v>
      </c>
      <c r="C147" s="1315"/>
      <c r="D147" s="1315"/>
      <c r="E147" s="1315"/>
      <c r="F147" s="55"/>
      <c r="G147" s="299">
        <f>AVERAGE(G141,G143,G146)</f>
        <v>32.346666666666671</v>
      </c>
      <c r="H147" s="55"/>
      <c r="I147" s="55"/>
      <c r="J147" s="55"/>
      <c r="K147" s="199"/>
      <c r="L147" s="55"/>
      <c r="T147" s="181"/>
    </row>
    <row r="148" spans="1:20" s="28" customFormat="1">
      <c r="A148" s="55"/>
      <c r="B148" s="709" t="s">
        <v>402</v>
      </c>
      <c r="C148" s="710"/>
      <c r="D148" s="711"/>
      <c r="E148" s="712"/>
      <c r="F148" s="696"/>
      <c r="G148" s="713"/>
      <c r="H148" s="714"/>
      <c r="I148" s="714"/>
      <c r="J148" s="714"/>
      <c r="K148" s="715"/>
      <c r="L148" s="55"/>
      <c r="T148" s="181"/>
    </row>
    <row r="149" spans="1:20" s="28" customFormat="1">
      <c r="A149" s="55"/>
      <c r="B149" s="668" t="s">
        <v>281</v>
      </c>
      <c r="C149" s="48">
        <v>72</v>
      </c>
      <c r="D149" s="55">
        <v>50</v>
      </c>
      <c r="E149" s="176" t="s">
        <v>260</v>
      </c>
      <c r="F149" s="91">
        <f>100/3</f>
        <v>33.333333333333336</v>
      </c>
      <c r="G149" s="298">
        <f>(C149/D149)*F149</f>
        <v>48</v>
      </c>
      <c r="H149" s="83" t="s">
        <v>637</v>
      </c>
      <c r="I149" s="280"/>
      <c r="J149" s="266"/>
      <c r="K149" s="267"/>
      <c r="L149" s="55"/>
      <c r="T149" s="181"/>
    </row>
    <row r="150" spans="1:20" s="28" customFormat="1">
      <c r="A150" s="55"/>
      <c r="B150" s="668" t="s">
        <v>276</v>
      </c>
      <c r="C150" s="48">
        <v>180</v>
      </c>
      <c r="D150" s="55">
        <v>50</v>
      </c>
      <c r="E150" s="176" t="s">
        <v>260</v>
      </c>
      <c r="F150" s="91">
        <f>54/3</f>
        <v>18</v>
      </c>
      <c r="G150" s="298">
        <f>(C150/D150)*F150</f>
        <v>64.8</v>
      </c>
      <c r="H150" s="83" t="s">
        <v>637</v>
      </c>
      <c r="I150" s="281"/>
      <c r="J150" s="282"/>
      <c r="K150" s="283"/>
      <c r="L150" s="55"/>
      <c r="T150" s="181"/>
    </row>
    <row r="151" spans="1:20" s="28" customFormat="1">
      <c r="A151" s="55"/>
      <c r="B151" s="668" t="s">
        <v>267</v>
      </c>
      <c r="C151" s="48">
        <v>176</v>
      </c>
      <c r="D151" s="55">
        <v>50</v>
      </c>
      <c r="E151" s="176" t="s">
        <v>260</v>
      </c>
      <c r="F151" s="91">
        <f>20/3</f>
        <v>6.666666666666667</v>
      </c>
      <c r="G151" s="298">
        <f>(C151/D151)*F151</f>
        <v>23.466666666666669</v>
      </c>
      <c r="H151" s="83" t="s">
        <v>637</v>
      </c>
      <c r="I151" s="281"/>
      <c r="J151" s="282"/>
      <c r="K151" s="283"/>
      <c r="L151" s="55"/>
      <c r="T151" s="181"/>
    </row>
    <row r="152" spans="1:20" s="28" customFormat="1">
      <c r="A152" s="55"/>
      <c r="B152" s="913" t="s">
        <v>284</v>
      </c>
      <c r="C152" s="296"/>
      <c r="D152" s="83"/>
      <c r="E152" s="278"/>
      <c r="F152" s="279"/>
      <c r="G152" s="306">
        <f>G149+G151</f>
        <v>71.466666666666669</v>
      </c>
      <c r="H152" s="55"/>
      <c r="I152" s="281"/>
      <c r="J152" s="282"/>
      <c r="K152" s="283"/>
      <c r="L152" s="55"/>
      <c r="T152" s="181"/>
    </row>
    <row r="153" spans="1:20" s="28" customFormat="1">
      <c r="A153" s="55"/>
      <c r="B153" s="913" t="s">
        <v>283</v>
      </c>
      <c r="C153" s="296"/>
      <c r="D153" s="83"/>
      <c r="E153" s="278"/>
      <c r="F153" s="83"/>
      <c r="G153" s="306">
        <f>G150+G151</f>
        <v>88.266666666666666</v>
      </c>
      <c r="H153" s="55"/>
      <c r="I153" s="281"/>
      <c r="J153" s="282"/>
      <c r="K153" s="283"/>
      <c r="L153" s="55"/>
      <c r="T153" s="181"/>
    </row>
    <row r="154" spans="1:20" s="28" customFormat="1">
      <c r="A154" s="55"/>
      <c r="B154" s="677" t="s">
        <v>286</v>
      </c>
      <c r="C154" s="48"/>
      <c r="D154" s="55"/>
      <c r="E154" s="176"/>
      <c r="F154" s="55"/>
      <c r="G154" s="299">
        <f>AVERAGE(G152,G153)</f>
        <v>79.866666666666674</v>
      </c>
      <c r="H154" s="55"/>
      <c r="I154" s="284"/>
      <c r="J154" s="148"/>
      <c r="K154" s="285"/>
      <c r="L154" s="55"/>
      <c r="T154" s="181"/>
    </row>
    <row r="155" spans="1:20" s="28" customFormat="1" ht="16" thickBot="1">
      <c r="A155" s="55"/>
      <c r="B155" s="675" t="s">
        <v>267</v>
      </c>
      <c r="C155" s="274">
        <v>176</v>
      </c>
      <c r="D155" s="142">
        <v>50</v>
      </c>
      <c r="E155" s="312" t="s">
        <v>260</v>
      </c>
      <c r="F155" s="142">
        <v>10</v>
      </c>
      <c r="G155" s="313">
        <f>(C155/D155)*F155</f>
        <v>35.200000000000003</v>
      </c>
      <c r="H155" s="276" t="s">
        <v>301</v>
      </c>
      <c r="I155" s="142"/>
      <c r="J155" s="142"/>
      <c r="K155" s="215"/>
      <c r="L155" s="55"/>
      <c r="T155" s="181"/>
    </row>
    <row r="156" spans="1:20" s="28" customFormat="1">
      <c r="A156" s="55"/>
      <c r="B156" s="55"/>
      <c r="C156" s="48"/>
      <c r="D156" s="55"/>
      <c r="E156" s="176"/>
      <c r="F156" s="55"/>
      <c r="G156" s="299"/>
      <c r="H156" s="83"/>
      <c r="I156" s="55"/>
      <c r="J156" s="55"/>
      <c r="K156" s="55"/>
      <c r="L156" s="55"/>
      <c r="T156" s="181"/>
    </row>
    <row r="157" spans="1:20" s="28" customFormat="1" ht="16" thickBot="1">
      <c r="A157" s="55"/>
      <c r="B157" s="55"/>
      <c r="C157" s="48"/>
      <c r="D157" s="55"/>
      <c r="E157" s="55"/>
      <c r="F157" s="179"/>
      <c r="G157" s="278"/>
      <c r="H157" s="287"/>
      <c r="I157" s="148"/>
      <c r="J157" s="148"/>
      <c r="K157" s="148"/>
      <c r="L157" s="55"/>
      <c r="O157" s="288"/>
      <c r="P157" s="288"/>
      <c r="T157" s="181"/>
    </row>
    <row r="158" spans="1:20" s="28" customFormat="1" ht="16" thickBot="1">
      <c r="A158" s="55"/>
      <c r="B158" s="642" t="s">
        <v>602</v>
      </c>
      <c r="C158" s="646"/>
      <c r="D158" s="646"/>
      <c r="E158" s="646"/>
      <c r="F158" s="646"/>
      <c r="G158" s="646"/>
      <c r="H158" s="646"/>
      <c r="I158" s="646"/>
      <c r="J158" s="646"/>
      <c r="K158" s="647"/>
      <c r="L158" s="55"/>
      <c r="T158" s="181"/>
    </row>
    <row r="159" spans="1:20" s="28" customFormat="1">
      <c r="A159" s="55"/>
      <c r="B159" s="796" t="s">
        <v>401</v>
      </c>
      <c r="C159" s="794"/>
      <c r="D159" s="794"/>
      <c r="E159" s="794"/>
      <c r="F159" s="794"/>
      <c r="G159" s="794"/>
      <c r="H159" s="794"/>
      <c r="I159" s="794"/>
      <c r="J159" s="794"/>
      <c r="K159" s="795"/>
      <c r="L159" s="55"/>
      <c r="T159" s="181"/>
    </row>
    <row r="160" spans="1:20" s="28" customFormat="1" ht="63" customHeight="1">
      <c r="A160" s="55"/>
      <c r="B160" s="684" t="s">
        <v>131</v>
      </c>
      <c r="C160" s="664" t="s">
        <v>560</v>
      </c>
      <c r="D160" s="778" t="s">
        <v>290</v>
      </c>
      <c r="E160" s="664" t="s">
        <v>352</v>
      </c>
      <c r="F160" s="664" t="s">
        <v>128</v>
      </c>
      <c r="G160" s="664" t="s">
        <v>129</v>
      </c>
      <c r="H160" s="544" t="s">
        <v>540</v>
      </c>
      <c r="I160" s="666" t="s">
        <v>630</v>
      </c>
      <c r="J160" s="429"/>
      <c r="K160" s="434"/>
      <c r="L160" s="55"/>
      <c r="T160" s="181"/>
    </row>
    <row r="161" spans="1:20" s="28" customFormat="1" ht="15" customHeight="1">
      <c r="A161" s="55"/>
      <c r="B161" s="677" t="str">
        <f t="shared" ref="B161:B171" si="6">B40</f>
        <v>Beans, Green</v>
      </c>
      <c r="C161" s="176">
        <v>2</v>
      </c>
      <c r="D161" s="238">
        <f>'BW1-Bed and Row Spacing'!J8</f>
        <v>6701.5384615384619</v>
      </c>
      <c r="E161" s="238">
        <f>(((D161)*12)/'BW3-Variable Input'!C161)</f>
        <v>40209.230769230773</v>
      </c>
      <c r="F161" s="237">
        <f>(E161)/1000</f>
        <v>40.209230769230771</v>
      </c>
      <c r="G161" s="298">
        <v>5</v>
      </c>
      <c r="H161" s="299">
        <f t="shared" ref="H161:H170" si="7">G161*F161</f>
        <v>201.04615384615386</v>
      </c>
      <c r="I161" s="1291" t="s">
        <v>641</v>
      </c>
      <c r="J161" s="1291"/>
      <c r="K161" s="1292"/>
      <c r="L161" s="55"/>
      <c r="T161" s="181"/>
    </row>
    <row r="162" spans="1:20" s="28" customFormat="1">
      <c r="A162" s="55"/>
      <c r="B162" s="677" t="str">
        <f t="shared" si="6"/>
        <v>Beets</v>
      </c>
      <c r="C162" s="176">
        <v>1.5</v>
      </c>
      <c r="D162" s="238">
        <f>'BW1-Bed and Row Spacing'!J9</f>
        <v>6701.5384615384619</v>
      </c>
      <c r="E162" s="238">
        <f>(((D162)*12)/'BW3-Variable Input'!C162)</f>
        <v>53612.307692307695</v>
      </c>
      <c r="F162" s="237">
        <f t="shared" ref="F162:F170" si="8">(E162)/1000</f>
        <v>53.612307692307695</v>
      </c>
      <c r="G162" s="298">
        <v>2.5</v>
      </c>
      <c r="H162" s="299">
        <f t="shared" si="7"/>
        <v>134.03076923076924</v>
      </c>
      <c r="I162" s="1291"/>
      <c r="J162" s="1291"/>
      <c r="K162" s="1292"/>
      <c r="L162" s="55"/>
      <c r="T162" s="181"/>
    </row>
    <row r="163" spans="1:20" s="28" customFormat="1">
      <c r="A163" s="55"/>
      <c r="B163" s="677" t="str">
        <f t="shared" si="6"/>
        <v>Carrots</v>
      </c>
      <c r="C163" s="176">
        <v>0.8</v>
      </c>
      <c r="D163" s="238">
        <f>'BW1-Bed and Row Spacing'!J13</f>
        <v>6701.5384615384619</v>
      </c>
      <c r="E163" s="238">
        <f>(((D163)*12)/'BW3-Variable Input'!C163)</f>
        <v>100523.07692307692</v>
      </c>
      <c r="F163" s="237">
        <f t="shared" si="8"/>
        <v>100.52307692307693</v>
      </c>
      <c r="G163" s="298">
        <v>1.5</v>
      </c>
      <c r="H163" s="299">
        <f t="shared" si="7"/>
        <v>150.78461538461539</v>
      </c>
      <c r="I163" s="1291"/>
      <c r="J163" s="1291"/>
      <c r="K163" s="1292"/>
      <c r="L163" s="48"/>
      <c r="T163" s="181"/>
    </row>
    <row r="164" spans="1:20" s="28" customFormat="1">
      <c r="A164" s="55"/>
      <c r="B164" s="677" t="str">
        <f t="shared" si="6"/>
        <v>Chard, Swiss</v>
      </c>
      <c r="C164" s="176">
        <v>1.5</v>
      </c>
      <c r="D164" s="238">
        <f>'BW1-Bed and Row Spacing'!J15</f>
        <v>6701.5384615384619</v>
      </c>
      <c r="E164" s="238">
        <f>(((D164)*12)/'BW3-Variable Input'!C164)</f>
        <v>53612.307692307695</v>
      </c>
      <c r="F164" s="237">
        <f t="shared" si="8"/>
        <v>53.612307692307695</v>
      </c>
      <c r="G164" s="298">
        <v>3.1</v>
      </c>
      <c r="H164" s="299">
        <f t="shared" si="7"/>
        <v>166.19815384615387</v>
      </c>
      <c r="I164" s="176"/>
      <c r="J164" s="55"/>
      <c r="K164" s="199"/>
      <c r="L164" s="55"/>
      <c r="T164" s="181"/>
    </row>
    <row r="165" spans="1:20" s="28" customFormat="1">
      <c r="A165" s="55"/>
      <c r="B165" s="677" t="str">
        <f t="shared" si="6"/>
        <v>Corn, Sweet</v>
      </c>
      <c r="C165" s="176">
        <v>8</v>
      </c>
      <c r="D165" s="238">
        <f>'BW1-Bed and Row Spacing'!J16</f>
        <v>6701.5384615384619</v>
      </c>
      <c r="E165" s="238">
        <f>(((D165)*12)/'BW3-Variable Input'!C165)</f>
        <v>10052.307692307693</v>
      </c>
      <c r="F165" s="237">
        <f t="shared" si="8"/>
        <v>10.052307692307693</v>
      </c>
      <c r="G165" s="298">
        <v>8</v>
      </c>
      <c r="H165" s="299">
        <f>G165*F165</f>
        <v>80.418461538461543</v>
      </c>
      <c r="I165" s="781"/>
      <c r="J165" s="55"/>
      <c r="K165" s="199"/>
      <c r="L165" s="90"/>
      <c r="T165" s="181"/>
    </row>
    <row r="166" spans="1:20" s="28" customFormat="1">
      <c r="A166" s="55"/>
      <c r="B166" s="677" t="str">
        <f t="shared" si="6"/>
        <v>Garlic</v>
      </c>
      <c r="C166" s="176">
        <v>9</v>
      </c>
      <c r="D166" s="238">
        <f>'BW1-Bed and Row Spacing'!J19</f>
        <v>6222.8571428571422</v>
      </c>
      <c r="E166" s="238"/>
      <c r="F166" s="237"/>
      <c r="G166" s="298"/>
      <c r="H166" s="299">
        <v>1333.5</v>
      </c>
      <c r="I166" s="781" t="s">
        <v>407</v>
      </c>
      <c r="J166" s="55"/>
      <c r="K166" s="199"/>
      <c r="L166" s="55"/>
      <c r="P166" s="52"/>
      <c r="T166" s="181"/>
    </row>
    <row r="167" spans="1:20" s="28" customFormat="1">
      <c r="A167" s="55"/>
      <c r="B167" s="677" t="str">
        <f t="shared" si="6"/>
        <v>Greens, Salad</v>
      </c>
      <c r="C167" s="176">
        <v>0.6</v>
      </c>
      <c r="D167" s="238">
        <f>'BW1-Bed and Row Spacing'!J21</f>
        <v>6701.5384615384619</v>
      </c>
      <c r="E167" s="238">
        <f>(((D167)*12)/'BW3-Variable Input'!C167)</f>
        <v>134030.76923076925</v>
      </c>
      <c r="F167" s="237">
        <f t="shared" si="8"/>
        <v>134.03076923076924</v>
      </c>
      <c r="G167" s="298">
        <v>0.55000000000000004</v>
      </c>
      <c r="H167" s="299">
        <f>G167*F167</f>
        <v>73.716923076923081</v>
      </c>
      <c r="I167" s="781"/>
      <c r="J167" s="55"/>
      <c r="K167" s="199"/>
      <c r="L167" s="55"/>
      <c r="P167" s="52"/>
      <c r="T167" s="181"/>
    </row>
    <row r="168" spans="1:20" s="28" customFormat="1">
      <c r="A168" s="55"/>
      <c r="B168" s="677" t="str">
        <f t="shared" si="6"/>
        <v>Herbs, Summer Annual</v>
      </c>
      <c r="C168" s="176">
        <v>1</v>
      </c>
      <c r="D168" s="238">
        <f>'BW1-Bed and Row Spacing'!J22</f>
        <v>6701.5384615384619</v>
      </c>
      <c r="E168" s="238">
        <f>(((D168)*12)/'BW3-Variable Input'!C168)</f>
        <v>80418.461538461546</v>
      </c>
      <c r="F168" s="237">
        <f t="shared" si="8"/>
        <v>80.418461538461543</v>
      </c>
      <c r="G168" s="298">
        <v>0.55000000000000004</v>
      </c>
      <c r="H168" s="299">
        <f t="shared" si="7"/>
        <v>44.230153846153854</v>
      </c>
      <c r="I168" s="781"/>
      <c r="J168" s="55"/>
      <c r="K168" s="199"/>
      <c r="L168" s="55"/>
      <c r="T168" s="181"/>
    </row>
    <row r="169" spans="1:20" s="28" customFormat="1">
      <c r="A169" s="55"/>
      <c r="B169" s="668" t="str">
        <f t="shared" si="6"/>
        <v>Potatoes</v>
      </c>
      <c r="C169" s="55">
        <v>8</v>
      </c>
      <c r="D169" s="91">
        <f>'BW1-Bed and Row Spacing'!J29</f>
        <v>4840</v>
      </c>
      <c r="E169" s="238"/>
      <c r="F169" s="237"/>
      <c r="G169" s="298"/>
      <c r="H169" s="299">
        <f>207.5*8</f>
        <v>1660</v>
      </c>
      <c r="I169" s="781" t="s">
        <v>406</v>
      </c>
      <c r="J169" s="55"/>
      <c r="K169" s="199"/>
      <c r="L169" s="55"/>
      <c r="T169" s="181"/>
    </row>
    <row r="170" spans="1:20" s="28" customFormat="1">
      <c r="A170" s="55"/>
      <c r="B170" s="668" t="str">
        <f t="shared" si="6"/>
        <v>Roots, Radish/Turnip</v>
      </c>
      <c r="C170" s="176">
        <v>1</v>
      </c>
      <c r="D170" s="91">
        <f>'BW1-Bed and Row Spacing'!J31</f>
        <v>6701.5384615384619</v>
      </c>
      <c r="E170" s="238">
        <f>(('BW1-Bed and Row Spacing'!J31)*12)/'BW3-Variable Input'!C170</f>
        <v>80418.461538461546</v>
      </c>
      <c r="F170" s="237">
        <f t="shared" si="8"/>
        <v>80.418461538461543</v>
      </c>
      <c r="G170" s="298">
        <v>1.5</v>
      </c>
      <c r="H170" s="299">
        <f t="shared" si="7"/>
        <v>120.62769230769231</v>
      </c>
      <c r="I170" s="55"/>
      <c r="J170" s="55"/>
      <c r="K170" s="199"/>
      <c r="L170" s="55"/>
      <c r="T170" s="181"/>
    </row>
    <row r="171" spans="1:20" s="28" customFormat="1" ht="16" thickBot="1">
      <c r="A171" s="55"/>
      <c r="B171" s="675" t="str">
        <f t="shared" si="6"/>
        <v>Potatoes, Sweet</v>
      </c>
      <c r="C171" s="142"/>
      <c r="D171" s="273">
        <f>'BW1-Bed and Row Spacing'!J30</f>
        <v>2074.2857142857142</v>
      </c>
      <c r="E171" s="273"/>
      <c r="F171" s="289"/>
      <c r="G171" s="311">
        <v>75</v>
      </c>
      <c r="H171" s="313">
        <f>G171*3</f>
        <v>225</v>
      </c>
      <c r="I171" s="142"/>
      <c r="J171" s="142"/>
      <c r="K171" s="215"/>
      <c r="L171" s="55"/>
      <c r="T171" s="181"/>
    </row>
    <row r="172" spans="1:20" s="28" customFormat="1">
      <c r="A172" s="55"/>
      <c r="B172" s="55"/>
      <c r="C172" s="55"/>
      <c r="D172" s="90"/>
      <c r="E172" s="91"/>
      <c r="F172" s="237"/>
      <c r="G172" s="298"/>
      <c r="H172" s="299"/>
      <c r="I172" s="55"/>
      <c r="J172" s="55"/>
      <c r="K172" s="55"/>
      <c r="L172" s="55"/>
      <c r="N172" s="181"/>
    </row>
    <row r="173" spans="1:20" s="28" customFormat="1" ht="16" thickBot="1">
      <c r="A173" s="55"/>
      <c r="B173" s="55"/>
      <c r="C173" s="55"/>
      <c r="D173" s="55"/>
      <c r="E173" s="55"/>
      <c r="F173" s="175"/>
      <c r="G173" s="287"/>
      <c r="H173" s="176"/>
      <c r="I173" s="55"/>
      <c r="J173" s="55"/>
      <c r="K173" s="55"/>
      <c r="M173" s="181"/>
    </row>
    <row r="174" spans="1:20" s="28" customFormat="1" ht="16" thickBot="1">
      <c r="A174" s="55"/>
      <c r="B174" s="645" t="s">
        <v>603</v>
      </c>
      <c r="C174" s="646"/>
      <c r="D174" s="646"/>
      <c r="E174" s="646"/>
      <c r="F174" s="646"/>
      <c r="G174" s="646"/>
      <c r="H174" s="646"/>
      <c r="I174" s="646"/>
      <c r="J174" s="646"/>
      <c r="K174" s="647"/>
      <c r="M174" s="181"/>
    </row>
    <row r="175" spans="1:20" s="28" customFormat="1">
      <c r="A175" s="55"/>
      <c r="B175" s="692" t="s">
        <v>443</v>
      </c>
      <c r="C175" s="794"/>
      <c r="D175" s="794"/>
      <c r="E175" s="794"/>
      <c r="F175" s="794"/>
      <c r="G175" s="794"/>
      <c r="H175" s="794"/>
      <c r="I175" s="794"/>
      <c r="J175" s="794"/>
      <c r="K175" s="795"/>
      <c r="L175" s="55"/>
      <c r="M175" s="181"/>
    </row>
    <row r="176" spans="1:20" s="28" customFormat="1" ht="74" customHeight="1">
      <c r="A176" s="55"/>
      <c r="B176" s="685" t="s">
        <v>131</v>
      </c>
      <c r="C176" s="665" t="s">
        <v>268</v>
      </c>
      <c r="D176" s="657" t="s">
        <v>409</v>
      </c>
      <c r="E176" s="778" t="s">
        <v>408</v>
      </c>
      <c r="F176" s="778" t="s">
        <v>918</v>
      </c>
      <c r="G176" s="544" t="s">
        <v>540</v>
      </c>
      <c r="H176" s="778" t="s">
        <v>547</v>
      </c>
      <c r="I176" s="666" t="s">
        <v>630</v>
      </c>
      <c r="J176" s="429"/>
      <c r="K176" s="434"/>
      <c r="L176" s="55"/>
      <c r="M176" s="181"/>
    </row>
    <row r="177" spans="1:16383" s="28" customFormat="1" ht="15" customHeight="1">
      <c r="A177" s="55"/>
      <c r="B177" s="686" t="str">
        <f>B54</f>
        <v>Beans, Green</v>
      </c>
      <c r="C177" s="55">
        <v>2014</v>
      </c>
      <c r="D177" s="298">
        <v>28.177500000000002</v>
      </c>
      <c r="E177" s="55">
        <f>3*300*2</f>
        <v>1800</v>
      </c>
      <c r="F177" s="238">
        <f>'BW1-Bed and Row Spacing'!J8</f>
        <v>6701.5384615384619</v>
      </c>
      <c r="G177" s="298">
        <f>(D177/E177)*F177</f>
        <v>104.90700000000001</v>
      </c>
      <c r="H177" s="55"/>
      <c r="I177" s="1291" t="s">
        <v>642</v>
      </c>
      <c r="J177" s="1291"/>
      <c r="K177" s="1292"/>
      <c r="L177" s="55"/>
      <c r="M177" s="181"/>
    </row>
    <row r="178" spans="1:16383" s="28" customFormat="1" ht="15" customHeight="1">
      <c r="A178" s="55"/>
      <c r="B178" s="677"/>
      <c r="C178" s="55">
        <v>2014</v>
      </c>
      <c r="D178" s="298">
        <v>24.783205128205129</v>
      </c>
      <c r="E178" s="55">
        <f>8*300*2</f>
        <v>4800</v>
      </c>
      <c r="F178" s="238">
        <f>'BW1-Bed and Row Spacing'!J8</f>
        <v>6701.5384615384619</v>
      </c>
      <c r="G178" s="298">
        <f>(D178/E178)*F178</f>
        <v>34.601167159763314</v>
      </c>
      <c r="H178" s="55"/>
      <c r="I178" s="1291"/>
      <c r="J178" s="1291"/>
      <c r="K178" s="1292"/>
      <c r="L178" s="55"/>
      <c r="M178" s="181"/>
    </row>
    <row r="179" spans="1:16383" s="28" customFormat="1">
      <c r="A179" s="55"/>
      <c r="B179" s="677"/>
      <c r="C179" s="55">
        <v>2015</v>
      </c>
      <c r="D179" s="298">
        <v>127.41166666666665</v>
      </c>
      <c r="E179" s="55">
        <f>8*300*2</f>
        <v>4800</v>
      </c>
      <c r="F179" s="238">
        <f>'BW1-Bed and Row Spacing'!J8</f>
        <v>6701.5384615384619</v>
      </c>
      <c r="G179" s="298">
        <f>(D179/E179)*F179</f>
        <v>177.88628846153844</v>
      </c>
      <c r="H179" s="55"/>
      <c r="I179" s="1291"/>
      <c r="J179" s="1291"/>
      <c r="K179" s="1292"/>
      <c r="L179" s="55"/>
      <c r="M179" s="54"/>
      <c r="N179" s="55"/>
      <c r="O179" s="55"/>
      <c r="P179" s="55"/>
      <c r="Q179" s="55"/>
      <c r="R179" s="55"/>
      <c r="S179" s="55"/>
    </row>
    <row r="180" spans="1:16383" s="28" customFormat="1">
      <c r="A180" s="55"/>
      <c r="B180" s="677"/>
      <c r="C180" s="55"/>
      <c r="D180" s="298"/>
      <c r="E180" s="55"/>
      <c r="F180" s="238"/>
      <c r="G180" s="299">
        <f>AVERAGE(G177:G179)</f>
        <v>105.79815187376725</v>
      </c>
      <c r="H180" s="55">
        <v>3</v>
      </c>
      <c r="I180" s="1291"/>
      <c r="J180" s="1291"/>
      <c r="K180" s="1292"/>
      <c r="L180" s="55"/>
      <c r="M180" s="54"/>
      <c r="N180" s="55"/>
      <c r="O180" s="55"/>
      <c r="P180" s="55"/>
      <c r="Q180" s="55"/>
      <c r="R180" s="55"/>
      <c r="S180" s="55"/>
    </row>
    <row r="181" spans="1:16383" s="28" customFormat="1">
      <c r="A181" s="55"/>
      <c r="B181" s="1304" t="str">
        <f>B55</f>
        <v>Brassicas (Broccoli, Brussels Sprouts, Cabbage, Cauliflower, Greens Kale/Collards)</v>
      </c>
      <c r="C181" s="307">
        <v>2014</v>
      </c>
      <c r="D181" s="300">
        <v>3.645</v>
      </c>
      <c r="E181" s="307">
        <f>2*300*2</f>
        <v>1200</v>
      </c>
      <c r="F181" s="801">
        <f>'BW1-Bed and Row Spacing'!J11</f>
        <v>6701.5384615384619</v>
      </c>
      <c r="G181" s="298">
        <f>(D181/E181)*F181</f>
        <v>20.355923076923077</v>
      </c>
      <c r="H181" s="307"/>
      <c r="I181" s="55"/>
      <c r="J181" s="55"/>
      <c r="K181" s="199"/>
      <c r="L181" s="55"/>
      <c r="M181" s="54"/>
      <c r="N181" s="55"/>
      <c r="O181" s="290"/>
      <c r="P181" s="96"/>
      <c r="Q181" s="55"/>
      <c r="R181" s="55"/>
      <c r="S181" s="55"/>
    </row>
    <row r="182" spans="1:16383" s="28" customFormat="1">
      <c r="A182" s="55"/>
      <c r="B182" s="1304"/>
      <c r="C182" s="55">
        <v>2014</v>
      </c>
      <c r="D182" s="298">
        <v>7.9207692307692312</v>
      </c>
      <c r="E182" s="55">
        <f>7*300*2</f>
        <v>4200</v>
      </c>
      <c r="F182" s="801">
        <f>'BW1-Bed and Row Spacing'!J11</f>
        <v>6701.5384615384619</v>
      </c>
      <c r="G182" s="298">
        <f t="shared" ref="G182:G213" si="9">(D182/E182)*F182</f>
        <v>12.638414201183434</v>
      </c>
      <c r="H182" s="55"/>
      <c r="I182" s="55"/>
      <c r="J182" s="55"/>
      <c r="K182" s="199"/>
      <c r="L182" s="55"/>
      <c r="M182" s="54"/>
      <c r="N182" s="55"/>
      <c r="O182" s="290"/>
      <c r="P182" s="96"/>
      <c r="Q182" s="55"/>
      <c r="R182" s="55"/>
      <c r="S182" s="55"/>
    </row>
    <row r="183" spans="1:16383" s="28" customFormat="1">
      <c r="A183" s="55"/>
      <c r="B183" s="677"/>
      <c r="C183" s="55">
        <v>2015</v>
      </c>
      <c r="D183" s="298">
        <v>46.531038095238095</v>
      </c>
      <c r="E183" s="55">
        <f>3*300*2</f>
        <v>1800</v>
      </c>
      <c r="F183" s="801">
        <f>'BW1-Bed and Row Spacing'!J11</f>
        <v>6701.5384615384619</v>
      </c>
      <c r="G183" s="298">
        <f t="shared" si="9"/>
        <v>173.23863413919415</v>
      </c>
      <c r="H183" s="55"/>
      <c r="I183" s="55"/>
      <c r="J183" s="55"/>
      <c r="K183" s="199"/>
      <c r="L183" s="55"/>
      <c r="M183" s="54"/>
      <c r="N183" s="55"/>
      <c r="O183" s="179"/>
      <c r="P183" s="55"/>
      <c r="Q183" s="55"/>
      <c r="R183" s="55"/>
      <c r="S183" s="55"/>
    </row>
    <row r="184" spans="1:16383" s="28" customFormat="1">
      <c r="A184" s="55"/>
      <c r="B184" s="677"/>
      <c r="C184" s="55">
        <v>2015</v>
      </c>
      <c r="D184" s="298">
        <v>100.18253333333332</v>
      </c>
      <c r="E184" s="55">
        <f>10*300*2</f>
        <v>6000</v>
      </c>
      <c r="F184" s="801">
        <f>'BW1-Bed and Row Spacing'!J11</f>
        <v>6701.5384615384619</v>
      </c>
      <c r="G184" s="298">
        <f t="shared" si="9"/>
        <v>111.89618338461538</v>
      </c>
      <c r="H184" s="55"/>
      <c r="I184" s="55"/>
      <c r="J184" s="55"/>
      <c r="K184" s="199"/>
      <c r="L184" s="55"/>
      <c r="M184" s="54"/>
      <c r="N184" s="55"/>
      <c r="O184" s="179"/>
      <c r="P184" s="55"/>
      <c r="Q184" s="96"/>
      <c r="R184" s="55"/>
      <c r="S184" s="55"/>
    </row>
    <row r="185" spans="1:16383" s="28" customFormat="1">
      <c r="A185" s="55"/>
      <c r="B185" s="677"/>
      <c r="C185" s="55"/>
      <c r="D185" s="298"/>
      <c r="E185" s="55"/>
      <c r="F185" s="238"/>
      <c r="G185" s="299">
        <f>AVERAGE(G181:G184)</f>
        <v>79.532288700479015</v>
      </c>
      <c r="H185" s="55">
        <v>4</v>
      </c>
      <c r="I185" s="55"/>
      <c r="J185" s="55"/>
      <c r="K185" s="199"/>
      <c r="L185" s="55"/>
      <c r="M185" s="54"/>
      <c r="N185" s="55"/>
      <c r="O185" s="179"/>
      <c r="P185" s="55"/>
      <c r="Q185" s="179"/>
      <c r="R185" s="55"/>
      <c r="S185" s="55"/>
    </row>
    <row r="186" spans="1:16383" s="28" customFormat="1">
      <c r="A186" s="298"/>
      <c r="B186" s="677" t="str">
        <f>B56</f>
        <v>Corn, Sweet</v>
      </c>
      <c r="C186" s="55">
        <v>2014</v>
      </c>
      <c r="D186" s="298">
        <v>41.014871794871794</v>
      </c>
      <c r="E186" s="55">
        <f>10*300*2</f>
        <v>6000</v>
      </c>
      <c r="F186" s="238">
        <f>'BW1-Bed and Row Spacing'!J16</f>
        <v>6701.5384615384619</v>
      </c>
      <c r="G186" s="298">
        <f t="shared" si="9"/>
        <v>45.810456804733732</v>
      </c>
      <c r="H186" s="55"/>
      <c r="I186" s="55"/>
      <c r="J186" s="55"/>
      <c r="K186" s="199"/>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8"/>
      <c r="AL186" s="298"/>
      <c r="AM186" s="298"/>
      <c r="AN186" s="298"/>
      <c r="AO186" s="298"/>
      <c r="AP186" s="298"/>
      <c r="AQ186" s="298"/>
      <c r="AR186" s="298"/>
      <c r="AS186" s="298"/>
      <c r="AT186" s="298"/>
      <c r="AU186" s="298"/>
      <c r="AV186" s="298"/>
      <c r="AW186" s="298"/>
      <c r="AX186" s="298"/>
      <c r="AY186" s="298"/>
      <c r="AZ186" s="298"/>
      <c r="BA186" s="298"/>
      <c r="BB186" s="298"/>
      <c r="BC186" s="298"/>
      <c r="BD186" s="298"/>
      <c r="BE186" s="298"/>
      <c r="BF186" s="298"/>
      <c r="BG186" s="298"/>
      <c r="BH186" s="298"/>
      <c r="BI186" s="298"/>
      <c r="BJ186" s="298"/>
      <c r="BK186" s="298"/>
      <c r="BL186" s="298"/>
      <c r="BM186" s="298"/>
      <c r="BN186" s="298"/>
      <c r="BO186" s="298"/>
      <c r="BP186" s="298"/>
      <c r="BQ186" s="298"/>
      <c r="BR186" s="298"/>
      <c r="BS186" s="298"/>
      <c r="BT186" s="298"/>
      <c r="BU186" s="298"/>
      <c r="BV186" s="298"/>
      <c r="BW186" s="298"/>
      <c r="BX186" s="298"/>
      <c r="BY186" s="298"/>
      <c r="BZ186" s="298"/>
      <c r="CA186" s="298"/>
      <c r="CB186" s="298"/>
      <c r="CC186" s="298"/>
      <c r="CD186" s="298"/>
      <c r="CE186" s="298"/>
      <c r="CF186" s="298"/>
      <c r="CG186" s="298"/>
      <c r="CH186" s="298"/>
      <c r="CI186" s="298"/>
      <c r="CJ186" s="298"/>
      <c r="CK186" s="298"/>
      <c r="CL186" s="298"/>
      <c r="CM186" s="298"/>
      <c r="CN186" s="298"/>
      <c r="CO186" s="298"/>
      <c r="CP186" s="298"/>
      <c r="CQ186" s="298"/>
      <c r="CR186" s="298"/>
      <c r="CS186" s="298"/>
      <c r="CT186" s="298"/>
      <c r="CU186" s="298"/>
      <c r="CV186" s="298"/>
      <c r="CW186" s="298"/>
      <c r="CX186" s="298"/>
      <c r="CY186" s="298"/>
      <c r="CZ186" s="298"/>
      <c r="DA186" s="298"/>
      <c r="DB186" s="298"/>
      <c r="DC186" s="298"/>
      <c r="DD186" s="298"/>
      <c r="DE186" s="298"/>
      <c r="DF186" s="298"/>
      <c r="DG186" s="298"/>
      <c r="DH186" s="298"/>
      <c r="DI186" s="298"/>
      <c r="DJ186" s="298"/>
      <c r="DK186" s="298"/>
      <c r="DL186" s="298"/>
      <c r="DM186" s="298"/>
      <c r="DN186" s="298"/>
      <c r="DO186" s="298"/>
      <c r="DP186" s="298"/>
      <c r="DQ186" s="298"/>
      <c r="DR186" s="298"/>
      <c r="DS186" s="298"/>
      <c r="DT186" s="298"/>
      <c r="DU186" s="298"/>
      <c r="DV186" s="298"/>
      <c r="DW186" s="298"/>
      <c r="DX186" s="298"/>
      <c r="DY186" s="298"/>
      <c r="DZ186" s="298"/>
      <c r="EA186" s="298"/>
      <c r="EB186" s="298"/>
      <c r="EC186" s="298"/>
      <c r="ED186" s="298"/>
      <c r="EE186" s="298"/>
      <c r="EF186" s="298"/>
      <c r="EG186" s="298"/>
      <c r="EH186" s="298"/>
      <c r="EI186" s="298"/>
      <c r="EJ186" s="298"/>
      <c r="EK186" s="298"/>
      <c r="EL186" s="298"/>
      <c r="EM186" s="298"/>
      <c r="EN186" s="298"/>
      <c r="EO186" s="298"/>
      <c r="EP186" s="298"/>
      <c r="EQ186" s="298"/>
      <c r="ER186" s="298"/>
      <c r="ES186" s="298"/>
      <c r="ET186" s="298"/>
      <c r="EU186" s="298"/>
      <c r="EV186" s="298"/>
      <c r="EW186" s="298"/>
      <c r="EX186" s="298"/>
      <c r="EY186" s="298"/>
      <c r="EZ186" s="298"/>
      <c r="FA186" s="298"/>
      <c r="FB186" s="298"/>
      <c r="FC186" s="298"/>
      <c r="FD186" s="298"/>
      <c r="FE186" s="298"/>
      <c r="FF186" s="298"/>
      <c r="FG186" s="298"/>
      <c r="FH186" s="298"/>
      <c r="FI186" s="298"/>
      <c r="FJ186" s="298"/>
      <c r="FK186" s="298"/>
      <c r="FL186" s="298"/>
      <c r="FM186" s="298"/>
      <c r="FN186" s="298"/>
      <c r="FO186" s="298"/>
      <c r="FP186" s="298"/>
      <c r="FQ186" s="298"/>
      <c r="FR186" s="298"/>
      <c r="FS186" s="298"/>
      <c r="FT186" s="298"/>
      <c r="FU186" s="298"/>
      <c r="FV186" s="298"/>
      <c r="FW186" s="298"/>
      <c r="FX186" s="298"/>
      <c r="FY186" s="298"/>
      <c r="FZ186" s="298"/>
      <c r="GA186" s="298"/>
      <c r="GB186" s="298"/>
      <c r="GC186" s="298"/>
      <c r="GD186" s="298"/>
      <c r="GE186" s="298"/>
      <c r="GF186" s="298"/>
      <c r="GG186" s="298"/>
      <c r="GH186" s="298"/>
      <c r="GI186" s="298"/>
      <c r="GJ186" s="298"/>
      <c r="GK186" s="298"/>
      <c r="GL186" s="298"/>
      <c r="GM186" s="298"/>
      <c r="GN186" s="298"/>
      <c r="GO186" s="298"/>
      <c r="GP186" s="298"/>
      <c r="GQ186" s="298"/>
      <c r="GR186" s="298"/>
      <c r="GS186" s="298"/>
      <c r="GT186" s="298"/>
      <c r="GU186" s="298"/>
      <c r="GV186" s="298"/>
      <c r="GW186" s="298"/>
      <c r="GX186" s="298"/>
      <c r="GY186" s="298"/>
      <c r="GZ186" s="298"/>
      <c r="HA186" s="298"/>
      <c r="HB186" s="298"/>
      <c r="HC186" s="298"/>
      <c r="HD186" s="298"/>
      <c r="HE186" s="298"/>
      <c r="HF186" s="298"/>
      <c r="HG186" s="298"/>
      <c r="HH186" s="298"/>
      <c r="HI186" s="298"/>
      <c r="HJ186" s="298"/>
      <c r="HK186" s="298"/>
      <c r="HL186" s="298"/>
      <c r="HM186" s="298"/>
      <c r="HN186" s="298"/>
      <c r="HO186" s="298"/>
      <c r="HP186" s="298"/>
      <c r="HQ186" s="298"/>
      <c r="HR186" s="298"/>
      <c r="HS186" s="298"/>
      <c r="HT186" s="298"/>
      <c r="HU186" s="298"/>
      <c r="HV186" s="298"/>
      <c r="HW186" s="298"/>
      <c r="HX186" s="298"/>
      <c r="HY186" s="298"/>
      <c r="HZ186" s="298"/>
      <c r="IA186" s="298"/>
      <c r="IB186" s="298"/>
      <c r="IC186" s="298"/>
      <c r="ID186" s="298"/>
      <c r="IE186" s="298"/>
      <c r="IF186" s="298"/>
      <c r="IG186" s="298"/>
      <c r="IH186" s="298"/>
      <c r="II186" s="298"/>
      <c r="IJ186" s="298"/>
      <c r="IK186" s="298"/>
      <c r="IL186" s="298"/>
      <c r="IM186" s="298"/>
      <c r="IN186" s="298"/>
      <c r="IO186" s="298"/>
      <c r="IP186" s="298"/>
      <c r="IQ186" s="298"/>
      <c r="IR186" s="298"/>
      <c r="IS186" s="298"/>
      <c r="IT186" s="298"/>
      <c r="IU186" s="298"/>
      <c r="IV186" s="298"/>
      <c r="IW186" s="298"/>
      <c r="IX186" s="298"/>
      <c r="IY186" s="298"/>
      <c r="IZ186" s="298"/>
      <c r="JA186" s="298"/>
      <c r="JB186" s="298"/>
      <c r="JC186" s="298"/>
      <c r="JD186" s="298"/>
      <c r="JE186" s="298"/>
      <c r="JF186" s="298"/>
      <c r="JG186" s="298"/>
      <c r="JH186" s="298"/>
      <c r="JI186" s="298"/>
      <c r="JJ186" s="298"/>
      <c r="JK186" s="298"/>
      <c r="JL186" s="298"/>
      <c r="JM186" s="298"/>
      <c r="JN186" s="298"/>
      <c r="JO186" s="298"/>
      <c r="JP186" s="298"/>
      <c r="JQ186" s="298"/>
      <c r="JR186" s="298"/>
      <c r="JS186" s="298"/>
      <c r="JT186" s="298"/>
      <c r="JU186" s="298"/>
      <c r="JV186" s="298"/>
      <c r="JW186" s="298"/>
      <c r="JX186" s="298"/>
      <c r="JY186" s="298"/>
      <c r="JZ186" s="298"/>
      <c r="KA186" s="298"/>
      <c r="KB186" s="298"/>
      <c r="KC186" s="298"/>
      <c r="KD186" s="298"/>
      <c r="KE186" s="298"/>
      <c r="KF186" s="298"/>
      <c r="KG186" s="298"/>
      <c r="KH186" s="298"/>
      <c r="KI186" s="298"/>
      <c r="KJ186" s="298"/>
      <c r="KK186" s="298"/>
      <c r="KL186" s="298"/>
      <c r="KM186" s="298"/>
      <c r="KN186" s="298"/>
      <c r="KO186" s="298"/>
      <c r="KP186" s="298"/>
      <c r="KQ186" s="298"/>
      <c r="KR186" s="298"/>
      <c r="KS186" s="298"/>
      <c r="KT186" s="298"/>
      <c r="KU186" s="298"/>
      <c r="KV186" s="298"/>
      <c r="KW186" s="298"/>
      <c r="KX186" s="298"/>
      <c r="KY186" s="298"/>
      <c r="KZ186" s="298"/>
      <c r="LA186" s="298"/>
      <c r="LB186" s="298"/>
      <c r="LC186" s="298"/>
      <c r="LD186" s="298"/>
      <c r="LE186" s="298"/>
      <c r="LF186" s="298"/>
      <c r="LG186" s="298"/>
      <c r="LH186" s="298"/>
      <c r="LI186" s="298"/>
      <c r="LJ186" s="298"/>
      <c r="LK186" s="298"/>
      <c r="LL186" s="298"/>
      <c r="LM186" s="298"/>
      <c r="LN186" s="298"/>
      <c r="LO186" s="298"/>
      <c r="LP186" s="298"/>
      <c r="LQ186" s="298"/>
      <c r="LR186" s="298"/>
      <c r="LS186" s="298"/>
      <c r="LT186" s="298"/>
      <c r="LU186" s="298"/>
      <c r="LV186" s="298"/>
      <c r="LW186" s="298"/>
      <c r="LX186" s="298"/>
      <c r="LY186" s="298"/>
      <c r="LZ186" s="298"/>
      <c r="MA186" s="298"/>
      <c r="MB186" s="298"/>
      <c r="MC186" s="298"/>
      <c r="MD186" s="298"/>
      <c r="ME186" s="298"/>
      <c r="MF186" s="298"/>
      <c r="MG186" s="298"/>
      <c r="MH186" s="298"/>
      <c r="MI186" s="298"/>
      <c r="MJ186" s="298"/>
      <c r="MK186" s="298"/>
      <c r="ML186" s="298"/>
      <c r="MM186" s="298"/>
      <c r="MN186" s="298"/>
      <c r="MO186" s="298"/>
      <c r="MP186" s="298"/>
      <c r="MQ186" s="298"/>
      <c r="MR186" s="298"/>
      <c r="MS186" s="298"/>
      <c r="MT186" s="298"/>
      <c r="MU186" s="298"/>
      <c r="MV186" s="298"/>
      <c r="MW186" s="298"/>
      <c r="MX186" s="298"/>
      <c r="MY186" s="298"/>
      <c r="MZ186" s="298"/>
      <c r="NA186" s="298"/>
      <c r="NB186" s="298"/>
      <c r="NC186" s="298"/>
      <c r="ND186" s="298"/>
      <c r="NE186" s="298"/>
      <c r="NF186" s="298"/>
      <c r="NG186" s="298"/>
      <c r="NH186" s="298"/>
      <c r="NI186" s="298"/>
      <c r="NJ186" s="298"/>
      <c r="NK186" s="298"/>
      <c r="NL186" s="298"/>
      <c r="NM186" s="298"/>
      <c r="NN186" s="298"/>
      <c r="NO186" s="298"/>
      <c r="NP186" s="298"/>
      <c r="NQ186" s="298"/>
      <c r="NR186" s="298"/>
      <c r="NS186" s="298"/>
      <c r="NT186" s="298"/>
      <c r="NU186" s="298"/>
      <c r="NV186" s="298"/>
      <c r="NW186" s="298"/>
      <c r="NX186" s="298"/>
      <c r="NY186" s="298"/>
      <c r="NZ186" s="298"/>
      <c r="OA186" s="298"/>
      <c r="OB186" s="298"/>
      <c r="OC186" s="298"/>
      <c r="OD186" s="298"/>
      <c r="OE186" s="298"/>
      <c r="OF186" s="298"/>
      <c r="OG186" s="298"/>
      <c r="OH186" s="298"/>
      <c r="OI186" s="298"/>
      <c r="OJ186" s="298"/>
      <c r="OK186" s="298"/>
      <c r="OL186" s="298"/>
      <c r="OM186" s="298"/>
      <c r="ON186" s="298"/>
      <c r="OO186" s="298"/>
      <c r="OP186" s="298"/>
      <c r="OQ186" s="298"/>
      <c r="OR186" s="298"/>
      <c r="OS186" s="298"/>
      <c r="OT186" s="298"/>
      <c r="OU186" s="298"/>
      <c r="OV186" s="298"/>
      <c r="OW186" s="298"/>
      <c r="OX186" s="298"/>
      <c r="OY186" s="298"/>
      <c r="OZ186" s="298"/>
      <c r="PA186" s="298"/>
      <c r="PB186" s="298"/>
      <c r="PC186" s="298"/>
      <c r="PD186" s="298"/>
      <c r="PE186" s="298"/>
      <c r="PF186" s="298"/>
      <c r="PG186" s="298"/>
      <c r="PH186" s="298"/>
      <c r="PI186" s="298"/>
      <c r="PJ186" s="298"/>
      <c r="PK186" s="298"/>
      <c r="PL186" s="298"/>
      <c r="PM186" s="298"/>
      <c r="PN186" s="298"/>
      <c r="PO186" s="298"/>
      <c r="PP186" s="298"/>
      <c r="PQ186" s="298"/>
      <c r="PR186" s="298"/>
      <c r="PS186" s="298"/>
      <c r="PT186" s="298"/>
      <c r="PU186" s="298"/>
      <c r="PV186" s="298"/>
      <c r="PW186" s="298"/>
      <c r="PX186" s="298"/>
      <c r="PY186" s="298"/>
      <c r="PZ186" s="298"/>
      <c r="QA186" s="298"/>
      <c r="QB186" s="298"/>
      <c r="QC186" s="298"/>
      <c r="QD186" s="298"/>
      <c r="QE186" s="298"/>
      <c r="QF186" s="298"/>
      <c r="QG186" s="298"/>
      <c r="QH186" s="298"/>
      <c r="QI186" s="298"/>
      <c r="QJ186" s="298"/>
      <c r="QK186" s="298"/>
      <c r="QL186" s="298"/>
      <c r="QM186" s="298"/>
      <c r="QN186" s="298"/>
      <c r="QO186" s="298"/>
      <c r="QP186" s="298"/>
      <c r="QQ186" s="298"/>
      <c r="QR186" s="298"/>
      <c r="QS186" s="298"/>
      <c r="QT186" s="298"/>
      <c r="QU186" s="298"/>
      <c r="QV186" s="298"/>
      <c r="QW186" s="298"/>
      <c r="QX186" s="298"/>
      <c r="QY186" s="298"/>
      <c r="QZ186" s="298"/>
      <c r="RA186" s="298"/>
      <c r="RB186" s="298"/>
      <c r="RC186" s="298"/>
      <c r="RD186" s="298"/>
      <c r="RE186" s="298"/>
      <c r="RF186" s="298"/>
      <c r="RG186" s="298"/>
      <c r="RH186" s="298"/>
      <c r="RI186" s="298"/>
      <c r="RJ186" s="298"/>
      <c r="RK186" s="298"/>
      <c r="RL186" s="298"/>
      <c r="RM186" s="298"/>
      <c r="RN186" s="298"/>
      <c r="RO186" s="298"/>
      <c r="RP186" s="298"/>
      <c r="RQ186" s="298"/>
      <c r="RR186" s="298"/>
      <c r="RS186" s="298"/>
      <c r="RT186" s="298"/>
      <c r="RU186" s="298"/>
      <c r="RV186" s="298"/>
      <c r="RW186" s="298"/>
      <c r="RX186" s="298"/>
      <c r="RY186" s="298"/>
      <c r="RZ186" s="298"/>
      <c r="SA186" s="298"/>
      <c r="SB186" s="298"/>
      <c r="SC186" s="298"/>
      <c r="SD186" s="298"/>
      <c r="SE186" s="298"/>
      <c r="SF186" s="298"/>
      <c r="SG186" s="298"/>
      <c r="SH186" s="298"/>
      <c r="SI186" s="298"/>
      <c r="SJ186" s="298"/>
      <c r="SK186" s="298"/>
      <c r="SL186" s="298"/>
      <c r="SM186" s="298"/>
      <c r="SN186" s="298"/>
      <c r="SO186" s="298"/>
      <c r="SP186" s="298"/>
      <c r="SQ186" s="298"/>
      <c r="SR186" s="298"/>
      <c r="SS186" s="298"/>
      <c r="ST186" s="298"/>
      <c r="SU186" s="298"/>
      <c r="SV186" s="298"/>
      <c r="SW186" s="298"/>
      <c r="SX186" s="298"/>
      <c r="SY186" s="298"/>
      <c r="SZ186" s="298"/>
      <c r="TA186" s="298"/>
      <c r="TB186" s="298"/>
      <c r="TC186" s="298"/>
      <c r="TD186" s="298"/>
      <c r="TE186" s="298"/>
      <c r="TF186" s="298"/>
      <c r="TG186" s="298"/>
      <c r="TH186" s="298"/>
      <c r="TI186" s="298"/>
      <c r="TJ186" s="298"/>
      <c r="TK186" s="298"/>
      <c r="TL186" s="298"/>
      <c r="TM186" s="298"/>
      <c r="TN186" s="298"/>
      <c r="TO186" s="298"/>
      <c r="TP186" s="298"/>
      <c r="TQ186" s="298"/>
      <c r="TR186" s="298"/>
      <c r="TS186" s="298"/>
      <c r="TT186" s="298"/>
      <c r="TU186" s="298"/>
      <c r="TV186" s="298"/>
      <c r="TW186" s="298"/>
      <c r="TX186" s="298"/>
      <c r="TY186" s="298"/>
      <c r="TZ186" s="298"/>
      <c r="UA186" s="298"/>
      <c r="UB186" s="298"/>
      <c r="UC186" s="298"/>
      <c r="UD186" s="298"/>
      <c r="UE186" s="298"/>
      <c r="UF186" s="298"/>
      <c r="UG186" s="298"/>
      <c r="UH186" s="298"/>
      <c r="UI186" s="298"/>
      <c r="UJ186" s="298"/>
      <c r="UK186" s="298"/>
      <c r="UL186" s="298"/>
      <c r="UM186" s="298"/>
      <c r="UN186" s="298"/>
      <c r="UO186" s="298"/>
      <c r="UP186" s="298"/>
      <c r="UQ186" s="298"/>
      <c r="UR186" s="298"/>
      <c r="US186" s="298"/>
      <c r="UT186" s="298"/>
      <c r="UU186" s="298"/>
      <c r="UV186" s="298"/>
      <c r="UW186" s="298"/>
      <c r="UX186" s="298"/>
      <c r="UY186" s="298"/>
      <c r="UZ186" s="298"/>
      <c r="VA186" s="298"/>
      <c r="VB186" s="298"/>
      <c r="VC186" s="298"/>
      <c r="VD186" s="298"/>
      <c r="VE186" s="298"/>
      <c r="VF186" s="298"/>
      <c r="VG186" s="298"/>
      <c r="VH186" s="298"/>
      <c r="VI186" s="298"/>
      <c r="VJ186" s="298"/>
      <c r="VK186" s="298"/>
      <c r="VL186" s="298"/>
      <c r="VM186" s="298"/>
      <c r="VN186" s="298"/>
      <c r="VO186" s="298"/>
      <c r="VP186" s="298"/>
      <c r="VQ186" s="298"/>
      <c r="VR186" s="298"/>
      <c r="VS186" s="298"/>
      <c r="VT186" s="298"/>
      <c r="VU186" s="298"/>
      <c r="VV186" s="298"/>
      <c r="VW186" s="298"/>
      <c r="VX186" s="298"/>
      <c r="VY186" s="298"/>
      <c r="VZ186" s="298"/>
      <c r="WA186" s="298"/>
      <c r="WB186" s="298"/>
      <c r="WC186" s="298"/>
      <c r="WD186" s="298"/>
      <c r="WE186" s="298"/>
      <c r="WF186" s="298"/>
      <c r="WG186" s="298"/>
      <c r="WH186" s="298"/>
      <c r="WI186" s="298"/>
      <c r="WJ186" s="298"/>
      <c r="WK186" s="298"/>
      <c r="WL186" s="298"/>
      <c r="WM186" s="298"/>
      <c r="WN186" s="298"/>
      <c r="WO186" s="298"/>
      <c r="WP186" s="298"/>
      <c r="WQ186" s="298"/>
      <c r="WR186" s="298"/>
      <c r="WS186" s="298"/>
      <c r="WT186" s="298"/>
      <c r="WU186" s="298"/>
      <c r="WV186" s="298"/>
      <c r="WW186" s="298"/>
      <c r="WX186" s="298"/>
      <c r="WY186" s="298"/>
      <c r="WZ186" s="298"/>
      <c r="XA186" s="298"/>
      <c r="XB186" s="298"/>
      <c r="XC186" s="298"/>
      <c r="XD186" s="298"/>
      <c r="XE186" s="298"/>
      <c r="XF186" s="298"/>
      <c r="XG186" s="298"/>
      <c r="XH186" s="298"/>
      <c r="XI186" s="298"/>
      <c r="XJ186" s="298"/>
      <c r="XK186" s="298"/>
      <c r="XL186" s="298"/>
      <c r="XM186" s="298"/>
      <c r="XN186" s="298"/>
      <c r="XO186" s="298"/>
      <c r="XP186" s="298"/>
      <c r="XQ186" s="298"/>
      <c r="XR186" s="298"/>
      <c r="XS186" s="298"/>
      <c r="XT186" s="298"/>
      <c r="XU186" s="298"/>
      <c r="XV186" s="298"/>
      <c r="XW186" s="298"/>
      <c r="XX186" s="298"/>
      <c r="XY186" s="298"/>
      <c r="XZ186" s="298"/>
      <c r="YA186" s="298"/>
      <c r="YB186" s="298"/>
      <c r="YC186" s="298"/>
      <c r="YD186" s="298"/>
      <c r="YE186" s="298"/>
      <c r="YF186" s="298"/>
      <c r="YG186" s="298"/>
      <c r="YH186" s="298"/>
      <c r="YI186" s="298"/>
      <c r="YJ186" s="298"/>
      <c r="YK186" s="298"/>
      <c r="YL186" s="298"/>
      <c r="YM186" s="298"/>
      <c r="YN186" s="298"/>
      <c r="YO186" s="298"/>
      <c r="YP186" s="298"/>
      <c r="YQ186" s="298"/>
      <c r="YR186" s="298"/>
      <c r="YS186" s="298"/>
      <c r="YT186" s="298"/>
      <c r="YU186" s="298"/>
      <c r="YV186" s="298"/>
      <c r="YW186" s="298"/>
      <c r="YX186" s="298"/>
      <c r="YY186" s="298"/>
      <c r="YZ186" s="298"/>
      <c r="ZA186" s="298"/>
      <c r="ZB186" s="298"/>
      <c r="ZC186" s="298"/>
      <c r="ZD186" s="298"/>
      <c r="ZE186" s="298"/>
      <c r="ZF186" s="298"/>
      <c r="ZG186" s="298"/>
      <c r="ZH186" s="298"/>
      <c r="ZI186" s="298"/>
      <c r="ZJ186" s="298"/>
      <c r="ZK186" s="298"/>
      <c r="ZL186" s="298"/>
      <c r="ZM186" s="298"/>
      <c r="ZN186" s="298"/>
      <c r="ZO186" s="298"/>
      <c r="ZP186" s="298"/>
      <c r="ZQ186" s="298"/>
      <c r="ZR186" s="298"/>
      <c r="ZS186" s="298"/>
      <c r="ZT186" s="298"/>
      <c r="ZU186" s="298"/>
      <c r="ZV186" s="298"/>
      <c r="ZW186" s="298"/>
      <c r="ZX186" s="298"/>
      <c r="ZY186" s="298"/>
      <c r="ZZ186" s="298"/>
      <c r="AAA186" s="298"/>
      <c r="AAB186" s="298"/>
      <c r="AAC186" s="298"/>
      <c r="AAD186" s="298"/>
      <c r="AAE186" s="298"/>
      <c r="AAF186" s="298"/>
      <c r="AAG186" s="298"/>
      <c r="AAH186" s="298"/>
      <c r="AAI186" s="298"/>
      <c r="AAJ186" s="298"/>
      <c r="AAK186" s="298"/>
      <c r="AAL186" s="298"/>
      <c r="AAM186" s="298"/>
      <c r="AAN186" s="298"/>
      <c r="AAO186" s="298"/>
      <c r="AAP186" s="298"/>
      <c r="AAQ186" s="298"/>
      <c r="AAR186" s="298"/>
      <c r="AAS186" s="298"/>
      <c r="AAT186" s="298"/>
      <c r="AAU186" s="298"/>
      <c r="AAV186" s="298"/>
      <c r="AAW186" s="298"/>
      <c r="AAX186" s="298"/>
      <c r="AAY186" s="298"/>
      <c r="AAZ186" s="298"/>
      <c r="ABA186" s="298"/>
      <c r="ABB186" s="298"/>
      <c r="ABC186" s="298"/>
      <c r="ABD186" s="298"/>
      <c r="ABE186" s="298"/>
      <c r="ABF186" s="298"/>
      <c r="ABG186" s="298"/>
      <c r="ABH186" s="298"/>
      <c r="ABI186" s="298"/>
      <c r="ABJ186" s="298"/>
      <c r="ABK186" s="298"/>
      <c r="ABL186" s="298"/>
      <c r="ABM186" s="298"/>
      <c r="ABN186" s="298"/>
      <c r="ABO186" s="298"/>
      <c r="ABP186" s="298"/>
      <c r="ABQ186" s="298"/>
      <c r="ABR186" s="298"/>
      <c r="ABS186" s="298"/>
      <c r="ABT186" s="298"/>
      <c r="ABU186" s="298"/>
      <c r="ABV186" s="298"/>
      <c r="ABW186" s="298"/>
      <c r="ABX186" s="298"/>
      <c r="ABY186" s="298"/>
      <c r="ABZ186" s="298"/>
      <c r="ACA186" s="298"/>
      <c r="ACB186" s="298"/>
      <c r="ACC186" s="298"/>
      <c r="ACD186" s="298"/>
      <c r="ACE186" s="298"/>
      <c r="ACF186" s="298"/>
      <c r="ACG186" s="298"/>
      <c r="ACH186" s="298"/>
      <c r="ACI186" s="298"/>
      <c r="ACJ186" s="298"/>
      <c r="ACK186" s="298"/>
      <c r="ACL186" s="298"/>
      <c r="ACM186" s="298"/>
      <c r="ACN186" s="298"/>
      <c r="ACO186" s="298"/>
      <c r="ACP186" s="298"/>
      <c r="ACQ186" s="298"/>
      <c r="ACR186" s="298"/>
      <c r="ACS186" s="298"/>
      <c r="ACT186" s="298"/>
      <c r="ACU186" s="298"/>
      <c r="ACV186" s="298"/>
      <c r="ACW186" s="298"/>
      <c r="ACX186" s="298"/>
      <c r="ACY186" s="298"/>
      <c r="ACZ186" s="298"/>
      <c r="ADA186" s="298"/>
      <c r="ADB186" s="298"/>
      <c r="ADC186" s="298"/>
      <c r="ADD186" s="298"/>
      <c r="ADE186" s="298"/>
      <c r="ADF186" s="298"/>
      <c r="ADG186" s="298"/>
      <c r="ADH186" s="298"/>
      <c r="ADI186" s="298"/>
      <c r="ADJ186" s="298"/>
      <c r="ADK186" s="298"/>
      <c r="ADL186" s="298"/>
      <c r="ADM186" s="298"/>
      <c r="ADN186" s="298"/>
      <c r="ADO186" s="298"/>
      <c r="ADP186" s="298"/>
      <c r="ADQ186" s="298"/>
      <c r="ADR186" s="298"/>
      <c r="ADS186" s="298"/>
      <c r="ADT186" s="298"/>
      <c r="ADU186" s="298"/>
      <c r="ADV186" s="298"/>
      <c r="ADW186" s="298"/>
      <c r="ADX186" s="298"/>
      <c r="ADY186" s="298"/>
      <c r="ADZ186" s="298"/>
      <c r="AEA186" s="298"/>
      <c r="AEB186" s="298"/>
      <c r="AEC186" s="298"/>
      <c r="AED186" s="298"/>
      <c r="AEE186" s="298"/>
      <c r="AEF186" s="298"/>
      <c r="AEG186" s="298"/>
      <c r="AEH186" s="298"/>
      <c r="AEI186" s="298"/>
      <c r="AEJ186" s="298"/>
      <c r="AEK186" s="298"/>
      <c r="AEL186" s="298"/>
      <c r="AEM186" s="298"/>
      <c r="AEN186" s="298"/>
      <c r="AEO186" s="298"/>
      <c r="AEP186" s="298"/>
      <c r="AEQ186" s="298"/>
      <c r="AER186" s="298"/>
      <c r="AES186" s="298"/>
      <c r="AET186" s="298"/>
      <c r="AEU186" s="298"/>
      <c r="AEV186" s="298"/>
      <c r="AEW186" s="298"/>
      <c r="AEX186" s="298"/>
      <c r="AEY186" s="298"/>
      <c r="AEZ186" s="298"/>
      <c r="AFA186" s="298"/>
      <c r="AFB186" s="298"/>
      <c r="AFC186" s="298"/>
      <c r="AFD186" s="298"/>
      <c r="AFE186" s="298"/>
      <c r="AFF186" s="298"/>
      <c r="AFG186" s="298"/>
      <c r="AFH186" s="298"/>
      <c r="AFI186" s="298"/>
      <c r="AFJ186" s="298"/>
      <c r="AFK186" s="298"/>
      <c r="AFL186" s="298"/>
      <c r="AFM186" s="298"/>
      <c r="AFN186" s="298"/>
      <c r="AFO186" s="298"/>
      <c r="AFP186" s="298"/>
      <c r="AFQ186" s="298"/>
      <c r="AFR186" s="298"/>
      <c r="AFS186" s="298"/>
      <c r="AFT186" s="298"/>
      <c r="AFU186" s="298"/>
      <c r="AFV186" s="298"/>
      <c r="AFW186" s="298"/>
      <c r="AFX186" s="298"/>
      <c r="AFY186" s="298"/>
      <c r="AFZ186" s="298"/>
      <c r="AGA186" s="298"/>
      <c r="AGB186" s="298"/>
      <c r="AGC186" s="298"/>
      <c r="AGD186" s="298"/>
      <c r="AGE186" s="298"/>
      <c r="AGF186" s="298"/>
      <c r="AGG186" s="298"/>
      <c r="AGH186" s="298"/>
      <c r="AGI186" s="298"/>
      <c r="AGJ186" s="298"/>
      <c r="AGK186" s="298"/>
      <c r="AGL186" s="298"/>
      <c r="AGM186" s="298"/>
      <c r="AGN186" s="298"/>
      <c r="AGO186" s="298"/>
      <c r="AGP186" s="298"/>
      <c r="AGQ186" s="298"/>
      <c r="AGR186" s="298"/>
      <c r="AGS186" s="298"/>
      <c r="AGT186" s="298"/>
      <c r="AGU186" s="298"/>
      <c r="AGV186" s="298"/>
      <c r="AGW186" s="298"/>
      <c r="AGX186" s="298"/>
      <c r="AGY186" s="298"/>
      <c r="AGZ186" s="298"/>
      <c r="AHA186" s="298"/>
      <c r="AHB186" s="298"/>
      <c r="AHC186" s="298"/>
      <c r="AHD186" s="298"/>
      <c r="AHE186" s="298"/>
      <c r="AHF186" s="298"/>
      <c r="AHG186" s="298"/>
      <c r="AHH186" s="298"/>
      <c r="AHI186" s="298"/>
      <c r="AHJ186" s="298"/>
      <c r="AHK186" s="298"/>
      <c r="AHL186" s="298"/>
      <c r="AHM186" s="298"/>
      <c r="AHN186" s="298"/>
      <c r="AHO186" s="298"/>
      <c r="AHP186" s="298"/>
      <c r="AHQ186" s="298"/>
      <c r="AHR186" s="298"/>
      <c r="AHS186" s="298"/>
      <c r="AHT186" s="298"/>
      <c r="AHU186" s="298"/>
      <c r="AHV186" s="298"/>
      <c r="AHW186" s="298"/>
      <c r="AHX186" s="298"/>
      <c r="AHY186" s="298"/>
      <c r="AHZ186" s="298"/>
      <c r="AIA186" s="298"/>
      <c r="AIB186" s="298"/>
      <c r="AIC186" s="298"/>
      <c r="AID186" s="298"/>
      <c r="AIE186" s="298"/>
      <c r="AIF186" s="298"/>
      <c r="AIG186" s="298"/>
      <c r="AIH186" s="298"/>
      <c r="AII186" s="298"/>
      <c r="AIJ186" s="298"/>
      <c r="AIK186" s="298"/>
      <c r="AIL186" s="298"/>
      <c r="AIM186" s="298"/>
      <c r="AIN186" s="298"/>
      <c r="AIO186" s="298"/>
      <c r="AIP186" s="298"/>
      <c r="AIQ186" s="298"/>
      <c r="AIR186" s="298"/>
      <c r="AIS186" s="298"/>
      <c r="AIT186" s="298"/>
      <c r="AIU186" s="298"/>
      <c r="AIV186" s="298"/>
      <c r="AIW186" s="298"/>
      <c r="AIX186" s="298"/>
      <c r="AIY186" s="298"/>
      <c r="AIZ186" s="298"/>
      <c r="AJA186" s="298"/>
      <c r="AJB186" s="298"/>
      <c r="AJC186" s="298"/>
      <c r="AJD186" s="298"/>
      <c r="AJE186" s="298"/>
      <c r="AJF186" s="298"/>
      <c r="AJG186" s="298"/>
      <c r="AJH186" s="298"/>
      <c r="AJI186" s="298"/>
      <c r="AJJ186" s="298"/>
      <c r="AJK186" s="298"/>
      <c r="AJL186" s="298"/>
      <c r="AJM186" s="298"/>
      <c r="AJN186" s="298"/>
      <c r="AJO186" s="298"/>
      <c r="AJP186" s="298"/>
      <c r="AJQ186" s="298"/>
      <c r="AJR186" s="298"/>
      <c r="AJS186" s="298"/>
      <c r="AJT186" s="298"/>
      <c r="AJU186" s="298"/>
      <c r="AJV186" s="298"/>
      <c r="AJW186" s="298"/>
      <c r="AJX186" s="298"/>
      <c r="AJY186" s="298"/>
      <c r="AJZ186" s="298"/>
      <c r="AKA186" s="298"/>
      <c r="AKB186" s="298"/>
      <c r="AKC186" s="298"/>
      <c r="AKD186" s="298"/>
      <c r="AKE186" s="298"/>
      <c r="AKF186" s="298"/>
      <c r="AKG186" s="298"/>
      <c r="AKH186" s="298"/>
      <c r="AKI186" s="298"/>
      <c r="AKJ186" s="298"/>
      <c r="AKK186" s="298"/>
      <c r="AKL186" s="298"/>
      <c r="AKM186" s="298"/>
      <c r="AKN186" s="298"/>
      <c r="AKO186" s="298"/>
      <c r="AKP186" s="298"/>
      <c r="AKQ186" s="298"/>
      <c r="AKR186" s="298"/>
      <c r="AKS186" s="298"/>
      <c r="AKT186" s="298"/>
      <c r="AKU186" s="298"/>
      <c r="AKV186" s="298"/>
      <c r="AKW186" s="298"/>
      <c r="AKX186" s="298"/>
      <c r="AKY186" s="298"/>
      <c r="AKZ186" s="298"/>
      <c r="ALA186" s="298"/>
      <c r="ALB186" s="298"/>
      <c r="ALC186" s="298"/>
      <c r="ALD186" s="298"/>
      <c r="ALE186" s="298"/>
      <c r="ALF186" s="298"/>
      <c r="ALG186" s="298"/>
      <c r="ALH186" s="298"/>
      <c r="ALI186" s="298"/>
      <c r="ALJ186" s="298"/>
      <c r="ALK186" s="298"/>
      <c r="ALL186" s="298"/>
      <c r="ALM186" s="298"/>
      <c r="ALN186" s="298"/>
      <c r="ALO186" s="298"/>
      <c r="ALP186" s="298"/>
      <c r="ALQ186" s="298"/>
      <c r="ALR186" s="298"/>
      <c r="ALS186" s="298"/>
      <c r="ALT186" s="298"/>
      <c r="ALU186" s="298"/>
      <c r="ALV186" s="298"/>
      <c r="ALW186" s="298"/>
      <c r="ALX186" s="298"/>
      <c r="ALY186" s="298"/>
      <c r="ALZ186" s="298"/>
      <c r="AMA186" s="298"/>
      <c r="AMB186" s="298"/>
      <c r="AMC186" s="298"/>
      <c r="AMD186" s="298"/>
      <c r="AME186" s="298"/>
      <c r="AMF186" s="298"/>
      <c r="AMG186" s="298"/>
      <c r="AMH186" s="298"/>
      <c r="AMI186" s="298"/>
      <c r="AMJ186" s="298"/>
      <c r="AMK186" s="298"/>
      <c r="AML186" s="298"/>
      <c r="AMM186" s="298"/>
      <c r="AMN186" s="298"/>
      <c r="AMO186" s="298"/>
      <c r="AMP186" s="298"/>
      <c r="AMQ186" s="298"/>
      <c r="AMR186" s="298"/>
      <c r="AMS186" s="298"/>
      <c r="AMT186" s="298"/>
      <c r="AMU186" s="298"/>
      <c r="AMV186" s="298"/>
      <c r="AMW186" s="298"/>
      <c r="AMX186" s="298"/>
      <c r="AMY186" s="298"/>
      <c r="AMZ186" s="298"/>
      <c r="ANA186" s="298"/>
      <c r="ANB186" s="298"/>
      <c r="ANC186" s="298"/>
      <c r="AND186" s="298"/>
      <c r="ANE186" s="298"/>
      <c r="ANF186" s="298"/>
      <c r="ANG186" s="298"/>
      <c r="ANH186" s="298"/>
      <c r="ANI186" s="298"/>
      <c r="ANJ186" s="298"/>
      <c r="ANK186" s="298"/>
      <c r="ANL186" s="298"/>
      <c r="ANM186" s="298"/>
      <c r="ANN186" s="298"/>
      <c r="ANO186" s="298"/>
      <c r="ANP186" s="298"/>
      <c r="ANQ186" s="298"/>
      <c r="ANR186" s="298"/>
      <c r="ANS186" s="298"/>
      <c r="ANT186" s="298"/>
      <c r="ANU186" s="298"/>
      <c r="ANV186" s="298"/>
      <c r="ANW186" s="298"/>
      <c r="ANX186" s="298"/>
      <c r="ANY186" s="298"/>
      <c r="ANZ186" s="298"/>
      <c r="AOA186" s="298"/>
      <c r="AOB186" s="298"/>
      <c r="AOC186" s="298"/>
      <c r="AOD186" s="298"/>
      <c r="AOE186" s="298"/>
      <c r="AOF186" s="298"/>
      <c r="AOG186" s="298"/>
      <c r="AOH186" s="298"/>
      <c r="AOI186" s="298"/>
      <c r="AOJ186" s="298"/>
      <c r="AOK186" s="298"/>
      <c r="AOL186" s="298"/>
      <c r="AOM186" s="298"/>
      <c r="AON186" s="298"/>
      <c r="AOO186" s="298"/>
      <c r="AOP186" s="298"/>
      <c r="AOQ186" s="298"/>
      <c r="AOR186" s="298"/>
      <c r="AOS186" s="298"/>
      <c r="AOT186" s="298"/>
      <c r="AOU186" s="298"/>
      <c r="AOV186" s="298"/>
      <c r="AOW186" s="298"/>
      <c r="AOX186" s="298"/>
      <c r="AOY186" s="298"/>
      <c r="AOZ186" s="298"/>
      <c r="APA186" s="298"/>
      <c r="APB186" s="298"/>
      <c r="APC186" s="298"/>
      <c r="APD186" s="298"/>
      <c r="APE186" s="298"/>
      <c r="APF186" s="298"/>
      <c r="APG186" s="298"/>
      <c r="APH186" s="298"/>
      <c r="API186" s="298"/>
      <c r="APJ186" s="298"/>
      <c r="APK186" s="298"/>
      <c r="APL186" s="298"/>
      <c r="APM186" s="298"/>
      <c r="APN186" s="298"/>
      <c r="APO186" s="298"/>
      <c r="APP186" s="298"/>
      <c r="APQ186" s="298"/>
      <c r="APR186" s="298"/>
      <c r="APS186" s="298"/>
      <c r="APT186" s="298"/>
      <c r="APU186" s="298"/>
      <c r="APV186" s="298"/>
      <c r="APW186" s="298"/>
      <c r="APX186" s="298"/>
      <c r="APY186" s="298"/>
      <c r="APZ186" s="298"/>
      <c r="AQA186" s="298"/>
      <c r="AQB186" s="298"/>
      <c r="AQC186" s="298"/>
      <c r="AQD186" s="298"/>
      <c r="AQE186" s="298"/>
      <c r="AQF186" s="298"/>
      <c r="AQG186" s="298"/>
      <c r="AQH186" s="298"/>
      <c r="AQI186" s="298"/>
      <c r="AQJ186" s="298"/>
      <c r="AQK186" s="298"/>
      <c r="AQL186" s="298"/>
      <c r="AQM186" s="298"/>
      <c r="AQN186" s="298"/>
      <c r="AQO186" s="298"/>
      <c r="AQP186" s="298"/>
      <c r="AQQ186" s="298"/>
      <c r="AQR186" s="298"/>
      <c r="AQS186" s="298"/>
      <c r="AQT186" s="298"/>
      <c r="AQU186" s="298"/>
      <c r="AQV186" s="298"/>
      <c r="AQW186" s="298"/>
      <c r="AQX186" s="298"/>
      <c r="AQY186" s="298"/>
      <c r="AQZ186" s="298"/>
      <c r="ARA186" s="298"/>
      <c r="ARB186" s="298"/>
      <c r="ARC186" s="298"/>
      <c r="ARD186" s="298"/>
      <c r="ARE186" s="298"/>
      <c r="ARF186" s="298"/>
      <c r="ARG186" s="298"/>
      <c r="ARH186" s="298"/>
      <c r="ARI186" s="298"/>
      <c r="ARJ186" s="298"/>
      <c r="ARK186" s="298"/>
      <c r="ARL186" s="298"/>
      <c r="ARM186" s="298"/>
      <c r="ARN186" s="298"/>
      <c r="ARO186" s="298"/>
      <c r="ARP186" s="298"/>
      <c r="ARQ186" s="298"/>
      <c r="ARR186" s="298"/>
      <c r="ARS186" s="298"/>
      <c r="ART186" s="298"/>
      <c r="ARU186" s="298"/>
      <c r="ARV186" s="298"/>
      <c r="ARW186" s="298"/>
      <c r="ARX186" s="298"/>
      <c r="ARY186" s="298"/>
      <c r="ARZ186" s="298"/>
      <c r="ASA186" s="298"/>
      <c r="ASB186" s="298"/>
      <c r="ASC186" s="298"/>
      <c r="ASD186" s="298"/>
      <c r="ASE186" s="298"/>
      <c r="ASF186" s="298"/>
      <c r="ASG186" s="298"/>
      <c r="ASH186" s="298"/>
      <c r="ASI186" s="298"/>
      <c r="ASJ186" s="298"/>
      <c r="ASK186" s="298"/>
      <c r="ASL186" s="298"/>
      <c r="ASM186" s="298"/>
      <c r="ASN186" s="298"/>
      <c r="ASO186" s="298"/>
      <c r="ASP186" s="298"/>
      <c r="ASQ186" s="298"/>
      <c r="ASR186" s="298"/>
      <c r="ASS186" s="298"/>
      <c r="AST186" s="298"/>
      <c r="ASU186" s="298"/>
      <c r="ASV186" s="298"/>
      <c r="ASW186" s="298"/>
      <c r="ASX186" s="298"/>
      <c r="ASY186" s="298"/>
      <c r="ASZ186" s="298"/>
      <c r="ATA186" s="298"/>
      <c r="ATB186" s="298"/>
      <c r="ATC186" s="298"/>
      <c r="ATD186" s="298"/>
      <c r="ATE186" s="298"/>
      <c r="ATF186" s="298"/>
      <c r="ATG186" s="298"/>
      <c r="ATH186" s="298"/>
      <c r="ATI186" s="298"/>
      <c r="ATJ186" s="298"/>
      <c r="ATK186" s="298"/>
      <c r="ATL186" s="298"/>
      <c r="ATM186" s="298"/>
      <c r="ATN186" s="298"/>
      <c r="ATO186" s="298"/>
      <c r="ATP186" s="298"/>
      <c r="ATQ186" s="298"/>
      <c r="ATR186" s="298"/>
      <c r="ATS186" s="298"/>
      <c r="ATT186" s="298"/>
      <c r="ATU186" s="298"/>
      <c r="ATV186" s="298"/>
      <c r="ATW186" s="298"/>
      <c r="ATX186" s="298"/>
      <c r="ATY186" s="298"/>
      <c r="ATZ186" s="298"/>
      <c r="AUA186" s="298"/>
      <c r="AUB186" s="298"/>
      <c r="AUC186" s="298"/>
      <c r="AUD186" s="298"/>
      <c r="AUE186" s="298"/>
      <c r="AUF186" s="298"/>
      <c r="AUG186" s="298"/>
      <c r="AUH186" s="298"/>
      <c r="AUI186" s="298"/>
      <c r="AUJ186" s="298"/>
      <c r="AUK186" s="298"/>
      <c r="AUL186" s="298"/>
      <c r="AUM186" s="298"/>
      <c r="AUN186" s="298"/>
      <c r="AUO186" s="298"/>
      <c r="AUP186" s="298"/>
      <c r="AUQ186" s="298"/>
      <c r="AUR186" s="298"/>
      <c r="AUS186" s="298"/>
      <c r="AUT186" s="298"/>
      <c r="AUU186" s="298"/>
      <c r="AUV186" s="298"/>
      <c r="AUW186" s="298"/>
      <c r="AUX186" s="298"/>
      <c r="AUY186" s="298"/>
      <c r="AUZ186" s="298"/>
      <c r="AVA186" s="298"/>
      <c r="AVB186" s="298"/>
      <c r="AVC186" s="298"/>
      <c r="AVD186" s="298"/>
      <c r="AVE186" s="298"/>
      <c r="AVF186" s="298"/>
      <c r="AVG186" s="298"/>
      <c r="AVH186" s="298"/>
      <c r="AVI186" s="298"/>
      <c r="AVJ186" s="298"/>
      <c r="AVK186" s="298"/>
      <c r="AVL186" s="298"/>
      <c r="AVM186" s="298"/>
      <c r="AVN186" s="298"/>
      <c r="AVO186" s="298"/>
      <c r="AVP186" s="298"/>
      <c r="AVQ186" s="298"/>
      <c r="AVR186" s="298"/>
      <c r="AVS186" s="298"/>
      <c r="AVT186" s="298"/>
      <c r="AVU186" s="298"/>
      <c r="AVV186" s="298"/>
      <c r="AVW186" s="298"/>
      <c r="AVX186" s="298"/>
      <c r="AVY186" s="298"/>
      <c r="AVZ186" s="298"/>
      <c r="AWA186" s="298"/>
      <c r="AWB186" s="298"/>
      <c r="AWC186" s="298"/>
      <c r="AWD186" s="298"/>
      <c r="AWE186" s="298"/>
      <c r="AWF186" s="298"/>
      <c r="AWG186" s="298"/>
      <c r="AWH186" s="298"/>
      <c r="AWI186" s="298"/>
      <c r="AWJ186" s="298"/>
      <c r="AWK186" s="298"/>
      <c r="AWL186" s="298"/>
      <c r="AWM186" s="298"/>
      <c r="AWN186" s="298"/>
      <c r="AWO186" s="298"/>
      <c r="AWP186" s="298"/>
      <c r="AWQ186" s="298"/>
      <c r="AWR186" s="298"/>
      <c r="AWS186" s="298"/>
      <c r="AWT186" s="298"/>
      <c r="AWU186" s="298"/>
      <c r="AWV186" s="298"/>
      <c r="AWW186" s="298"/>
      <c r="AWX186" s="298"/>
      <c r="AWY186" s="298"/>
      <c r="AWZ186" s="298"/>
      <c r="AXA186" s="298"/>
      <c r="AXB186" s="298"/>
      <c r="AXC186" s="298"/>
      <c r="AXD186" s="298"/>
      <c r="AXE186" s="298"/>
      <c r="AXF186" s="298"/>
      <c r="AXG186" s="298"/>
      <c r="AXH186" s="298"/>
      <c r="AXI186" s="298"/>
      <c r="AXJ186" s="298"/>
      <c r="AXK186" s="298"/>
      <c r="AXL186" s="298"/>
      <c r="AXM186" s="298"/>
      <c r="AXN186" s="298"/>
      <c r="AXO186" s="298"/>
      <c r="AXP186" s="298"/>
      <c r="AXQ186" s="298"/>
      <c r="AXR186" s="298"/>
      <c r="AXS186" s="298"/>
      <c r="AXT186" s="298"/>
      <c r="AXU186" s="298"/>
      <c r="AXV186" s="298"/>
      <c r="AXW186" s="298"/>
      <c r="AXX186" s="298"/>
      <c r="AXY186" s="298"/>
      <c r="AXZ186" s="298"/>
      <c r="AYA186" s="298"/>
      <c r="AYB186" s="298"/>
      <c r="AYC186" s="298"/>
      <c r="AYD186" s="298"/>
      <c r="AYE186" s="298"/>
      <c r="AYF186" s="298"/>
      <c r="AYG186" s="298"/>
      <c r="AYH186" s="298"/>
      <c r="AYI186" s="298"/>
      <c r="AYJ186" s="298"/>
      <c r="AYK186" s="298"/>
      <c r="AYL186" s="298"/>
      <c r="AYM186" s="298"/>
      <c r="AYN186" s="298"/>
      <c r="AYO186" s="298"/>
      <c r="AYP186" s="298"/>
      <c r="AYQ186" s="298"/>
      <c r="AYR186" s="298"/>
      <c r="AYS186" s="298"/>
      <c r="AYT186" s="298"/>
      <c r="AYU186" s="298"/>
      <c r="AYV186" s="298"/>
      <c r="AYW186" s="298"/>
      <c r="AYX186" s="298"/>
      <c r="AYY186" s="298"/>
      <c r="AYZ186" s="298"/>
      <c r="AZA186" s="298"/>
      <c r="AZB186" s="298"/>
      <c r="AZC186" s="298"/>
      <c r="AZD186" s="298"/>
      <c r="AZE186" s="298"/>
      <c r="AZF186" s="298"/>
      <c r="AZG186" s="298"/>
      <c r="AZH186" s="298"/>
      <c r="AZI186" s="298"/>
      <c r="AZJ186" s="298"/>
      <c r="AZK186" s="298"/>
      <c r="AZL186" s="298"/>
      <c r="AZM186" s="298"/>
      <c r="AZN186" s="298"/>
      <c r="AZO186" s="298"/>
      <c r="AZP186" s="298"/>
      <c r="AZQ186" s="298"/>
      <c r="AZR186" s="298"/>
      <c r="AZS186" s="298"/>
      <c r="AZT186" s="298"/>
      <c r="AZU186" s="298"/>
      <c r="AZV186" s="298"/>
      <c r="AZW186" s="298"/>
      <c r="AZX186" s="298"/>
      <c r="AZY186" s="298"/>
      <c r="AZZ186" s="298"/>
      <c r="BAA186" s="298"/>
      <c r="BAB186" s="298"/>
      <c r="BAC186" s="298"/>
      <c r="BAD186" s="298"/>
      <c r="BAE186" s="298"/>
      <c r="BAF186" s="298"/>
      <c r="BAG186" s="298"/>
      <c r="BAH186" s="298"/>
      <c r="BAI186" s="298"/>
      <c r="BAJ186" s="298"/>
      <c r="BAK186" s="298"/>
      <c r="BAL186" s="298"/>
      <c r="BAM186" s="298"/>
      <c r="BAN186" s="298"/>
      <c r="BAO186" s="298"/>
      <c r="BAP186" s="298"/>
      <c r="BAQ186" s="298"/>
      <c r="BAR186" s="298"/>
      <c r="BAS186" s="298"/>
      <c r="BAT186" s="298"/>
      <c r="BAU186" s="298"/>
      <c r="BAV186" s="298"/>
      <c r="BAW186" s="298"/>
      <c r="BAX186" s="298"/>
      <c r="BAY186" s="298"/>
      <c r="BAZ186" s="298"/>
      <c r="BBA186" s="298"/>
      <c r="BBB186" s="298"/>
      <c r="BBC186" s="298"/>
      <c r="BBD186" s="298"/>
      <c r="BBE186" s="298"/>
      <c r="BBF186" s="298"/>
      <c r="BBG186" s="298"/>
      <c r="BBH186" s="298"/>
      <c r="BBI186" s="298"/>
      <c r="BBJ186" s="298"/>
      <c r="BBK186" s="298"/>
      <c r="BBL186" s="298"/>
      <c r="BBM186" s="298"/>
      <c r="BBN186" s="298"/>
      <c r="BBO186" s="298"/>
      <c r="BBP186" s="298"/>
      <c r="BBQ186" s="298"/>
      <c r="BBR186" s="298"/>
      <c r="BBS186" s="298"/>
      <c r="BBT186" s="298"/>
      <c r="BBU186" s="298"/>
      <c r="BBV186" s="298"/>
      <c r="BBW186" s="298"/>
      <c r="BBX186" s="298"/>
      <c r="BBY186" s="298"/>
      <c r="BBZ186" s="298"/>
      <c r="BCA186" s="298"/>
      <c r="BCB186" s="298"/>
      <c r="BCC186" s="298"/>
      <c r="BCD186" s="298"/>
      <c r="BCE186" s="298"/>
      <c r="BCF186" s="298"/>
      <c r="BCG186" s="298"/>
      <c r="BCH186" s="298"/>
      <c r="BCI186" s="298"/>
      <c r="BCJ186" s="298"/>
      <c r="BCK186" s="298"/>
      <c r="BCL186" s="298"/>
      <c r="BCM186" s="298"/>
      <c r="BCN186" s="298"/>
      <c r="BCO186" s="298"/>
      <c r="BCP186" s="298"/>
      <c r="BCQ186" s="298"/>
      <c r="BCR186" s="298"/>
      <c r="BCS186" s="298"/>
      <c r="BCT186" s="298"/>
      <c r="BCU186" s="298"/>
      <c r="BCV186" s="298"/>
      <c r="BCW186" s="298"/>
      <c r="BCX186" s="298"/>
      <c r="BCY186" s="298"/>
      <c r="BCZ186" s="298"/>
      <c r="BDA186" s="298"/>
      <c r="BDB186" s="298"/>
      <c r="BDC186" s="298"/>
      <c r="BDD186" s="298"/>
      <c r="BDE186" s="298"/>
      <c r="BDF186" s="298"/>
      <c r="BDG186" s="298"/>
      <c r="BDH186" s="298"/>
      <c r="BDI186" s="298"/>
      <c r="BDJ186" s="298"/>
      <c r="BDK186" s="298"/>
      <c r="BDL186" s="298"/>
      <c r="BDM186" s="298"/>
      <c r="BDN186" s="298"/>
      <c r="BDO186" s="298"/>
      <c r="BDP186" s="298"/>
      <c r="BDQ186" s="298"/>
      <c r="BDR186" s="298"/>
      <c r="BDS186" s="298"/>
      <c r="BDT186" s="298"/>
      <c r="BDU186" s="298"/>
      <c r="BDV186" s="298"/>
      <c r="BDW186" s="298"/>
      <c r="BDX186" s="298"/>
      <c r="BDY186" s="298"/>
      <c r="BDZ186" s="298"/>
      <c r="BEA186" s="298"/>
      <c r="BEB186" s="298"/>
      <c r="BEC186" s="298"/>
      <c r="BED186" s="298"/>
      <c r="BEE186" s="298"/>
      <c r="BEF186" s="298"/>
      <c r="BEG186" s="298"/>
      <c r="BEH186" s="298"/>
      <c r="BEI186" s="298"/>
      <c r="BEJ186" s="298"/>
      <c r="BEK186" s="298"/>
      <c r="BEL186" s="298"/>
      <c r="BEM186" s="298"/>
      <c r="BEN186" s="298"/>
      <c r="BEO186" s="298"/>
      <c r="BEP186" s="298"/>
      <c r="BEQ186" s="298"/>
      <c r="BER186" s="298"/>
      <c r="BES186" s="298"/>
      <c r="BET186" s="298"/>
      <c r="BEU186" s="298"/>
      <c r="BEV186" s="298"/>
      <c r="BEW186" s="298"/>
      <c r="BEX186" s="298"/>
      <c r="BEY186" s="298"/>
      <c r="BEZ186" s="298"/>
      <c r="BFA186" s="298"/>
      <c r="BFB186" s="298"/>
      <c r="BFC186" s="298"/>
      <c r="BFD186" s="298"/>
      <c r="BFE186" s="298"/>
      <c r="BFF186" s="298"/>
      <c r="BFG186" s="298"/>
      <c r="BFH186" s="298"/>
      <c r="BFI186" s="298"/>
      <c r="BFJ186" s="298"/>
      <c r="BFK186" s="298"/>
      <c r="BFL186" s="298"/>
      <c r="BFM186" s="298"/>
      <c r="BFN186" s="298"/>
      <c r="BFO186" s="298"/>
      <c r="BFP186" s="298"/>
      <c r="BFQ186" s="298"/>
      <c r="BFR186" s="298"/>
      <c r="BFS186" s="298"/>
      <c r="BFT186" s="298"/>
      <c r="BFU186" s="298"/>
      <c r="BFV186" s="298"/>
      <c r="BFW186" s="298"/>
      <c r="BFX186" s="298"/>
      <c r="BFY186" s="298"/>
      <c r="BFZ186" s="298"/>
      <c r="BGA186" s="298"/>
      <c r="BGB186" s="298"/>
      <c r="BGC186" s="298"/>
      <c r="BGD186" s="298"/>
      <c r="BGE186" s="298"/>
      <c r="BGF186" s="298"/>
      <c r="BGG186" s="298"/>
      <c r="BGH186" s="298"/>
      <c r="BGI186" s="298"/>
      <c r="BGJ186" s="298"/>
      <c r="BGK186" s="298"/>
      <c r="BGL186" s="298"/>
      <c r="BGM186" s="298"/>
      <c r="BGN186" s="298"/>
      <c r="BGO186" s="298"/>
      <c r="BGP186" s="298"/>
      <c r="BGQ186" s="298"/>
      <c r="BGR186" s="298"/>
      <c r="BGS186" s="298"/>
      <c r="BGT186" s="298"/>
      <c r="BGU186" s="298"/>
      <c r="BGV186" s="298"/>
      <c r="BGW186" s="298"/>
      <c r="BGX186" s="298"/>
      <c r="BGY186" s="298"/>
      <c r="BGZ186" s="298"/>
      <c r="BHA186" s="298"/>
      <c r="BHB186" s="298"/>
      <c r="BHC186" s="298"/>
      <c r="BHD186" s="298"/>
      <c r="BHE186" s="298"/>
      <c r="BHF186" s="298"/>
      <c r="BHG186" s="298"/>
      <c r="BHH186" s="298"/>
      <c r="BHI186" s="298"/>
      <c r="BHJ186" s="298"/>
      <c r="BHK186" s="298"/>
      <c r="BHL186" s="298"/>
      <c r="BHM186" s="298"/>
      <c r="BHN186" s="298"/>
      <c r="BHO186" s="298"/>
      <c r="BHP186" s="298"/>
      <c r="BHQ186" s="298"/>
      <c r="BHR186" s="298"/>
      <c r="BHS186" s="298"/>
      <c r="BHT186" s="298"/>
      <c r="BHU186" s="298"/>
      <c r="BHV186" s="298"/>
      <c r="BHW186" s="298"/>
      <c r="BHX186" s="298"/>
      <c r="BHY186" s="298"/>
      <c r="BHZ186" s="298"/>
      <c r="BIA186" s="298"/>
      <c r="BIB186" s="298"/>
      <c r="BIC186" s="298"/>
      <c r="BID186" s="298"/>
      <c r="BIE186" s="298"/>
      <c r="BIF186" s="298"/>
      <c r="BIG186" s="298"/>
      <c r="BIH186" s="298"/>
      <c r="BII186" s="298"/>
      <c r="BIJ186" s="298"/>
      <c r="BIK186" s="298"/>
      <c r="BIL186" s="298"/>
      <c r="BIM186" s="298"/>
      <c r="BIN186" s="298"/>
      <c r="BIO186" s="298"/>
      <c r="BIP186" s="298"/>
      <c r="BIQ186" s="298"/>
      <c r="BIR186" s="298"/>
      <c r="BIS186" s="298"/>
      <c r="BIT186" s="298"/>
      <c r="BIU186" s="298"/>
      <c r="BIV186" s="298"/>
      <c r="BIW186" s="298"/>
      <c r="BIX186" s="298"/>
      <c r="BIY186" s="298"/>
      <c r="BIZ186" s="298"/>
      <c r="BJA186" s="298"/>
      <c r="BJB186" s="298"/>
      <c r="BJC186" s="298"/>
      <c r="BJD186" s="298"/>
      <c r="BJE186" s="298"/>
      <c r="BJF186" s="298"/>
      <c r="BJG186" s="298"/>
      <c r="BJH186" s="298"/>
      <c r="BJI186" s="298"/>
      <c r="BJJ186" s="298"/>
      <c r="BJK186" s="298"/>
      <c r="BJL186" s="298"/>
      <c r="BJM186" s="298"/>
      <c r="BJN186" s="298"/>
      <c r="BJO186" s="298"/>
      <c r="BJP186" s="298"/>
      <c r="BJQ186" s="298"/>
      <c r="BJR186" s="298"/>
      <c r="BJS186" s="298"/>
      <c r="BJT186" s="298"/>
      <c r="BJU186" s="298"/>
      <c r="BJV186" s="298"/>
      <c r="BJW186" s="298"/>
      <c r="BJX186" s="298"/>
      <c r="BJY186" s="298"/>
      <c r="BJZ186" s="298"/>
      <c r="BKA186" s="298"/>
      <c r="BKB186" s="298"/>
      <c r="BKC186" s="298"/>
      <c r="BKD186" s="298"/>
      <c r="BKE186" s="298"/>
      <c r="BKF186" s="298"/>
      <c r="BKG186" s="298"/>
      <c r="BKH186" s="298"/>
      <c r="BKI186" s="298"/>
      <c r="BKJ186" s="298"/>
      <c r="BKK186" s="298"/>
      <c r="BKL186" s="298"/>
      <c r="BKM186" s="298"/>
      <c r="BKN186" s="298"/>
      <c r="BKO186" s="298"/>
      <c r="BKP186" s="298"/>
      <c r="BKQ186" s="298"/>
      <c r="BKR186" s="298"/>
      <c r="BKS186" s="298"/>
      <c r="BKT186" s="298"/>
      <c r="BKU186" s="298"/>
      <c r="BKV186" s="298"/>
      <c r="BKW186" s="298"/>
      <c r="BKX186" s="298"/>
      <c r="BKY186" s="298"/>
      <c r="BKZ186" s="298"/>
      <c r="BLA186" s="298"/>
      <c r="BLB186" s="298"/>
      <c r="BLC186" s="298"/>
      <c r="BLD186" s="298"/>
      <c r="BLE186" s="298"/>
      <c r="BLF186" s="298"/>
      <c r="BLG186" s="298"/>
      <c r="BLH186" s="298"/>
      <c r="BLI186" s="298"/>
      <c r="BLJ186" s="298"/>
      <c r="BLK186" s="298"/>
      <c r="BLL186" s="298"/>
      <c r="BLM186" s="298"/>
      <c r="BLN186" s="298"/>
      <c r="BLO186" s="298"/>
      <c r="BLP186" s="298"/>
      <c r="BLQ186" s="298"/>
      <c r="BLR186" s="298"/>
      <c r="BLS186" s="298"/>
      <c r="BLT186" s="298"/>
      <c r="BLU186" s="298"/>
      <c r="BLV186" s="298"/>
      <c r="BLW186" s="298"/>
      <c r="BLX186" s="298"/>
      <c r="BLY186" s="298"/>
      <c r="BLZ186" s="298"/>
      <c r="BMA186" s="298"/>
      <c r="BMB186" s="298"/>
      <c r="BMC186" s="298"/>
      <c r="BMD186" s="298"/>
      <c r="BME186" s="298"/>
      <c r="BMF186" s="298"/>
      <c r="BMG186" s="298"/>
      <c r="BMH186" s="298"/>
      <c r="BMI186" s="298"/>
      <c r="BMJ186" s="298"/>
      <c r="BMK186" s="298"/>
      <c r="BML186" s="298"/>
      <c r="BMM186" s="298"/>
      <c r="BMN186" s="298"/>
      <c r="BMO186" s="298"/>
      <c r="BMP186" s="298"/>
      <c r="BMQ186" s="298"/>
      <c r="BMR186" s="298"/>
      <c r="BMS186" s="298"/>
      <c r="BMT186" s="298"/>
      <c r="BMU186" s="298"/>
      <c r="BMV186" s="298"/>
      <c r="BMW186" s="298"/>
      <c r="BMX186" s="298"/>
      <c r="BMY186" s="298"/>
      <c r="BMZ186" s="298"/>
      <c r="BNA186" s="298"/>
      <c r="BNB186" s="298"/>
      <c r="BNC186" s="298"/>
      <c r="BND186" s="298"/>
      <c r="BNE186" s="298"/>
      <c r="BNF186" s="298"/>
      <c r="BNG186" s="298"/>
      <c r="BNH186" s="298"/>
      <c r="BNI186" s="298"/>
      <c r="BNJ186" s="298"/>
      <c r="BNK186" s="298"/>
      <c r="BNL186" s="298"/>
      <c r="BNM186" s="298"/>
      <c r="BNN186" s="298"/>
      <c r="BNO186" s="298"/>
      <c r="BNP186" s="298"/>
      <c r="BNQ186" s="298"/>
      <c r="BNR186" s="298"/>
      <c r="BNS186" s="298"/>
      <c r="BNT186" s="298"/>
      <c r="BNU186" s="298"/>
      <c r="BNV186" s="298"/>
      <c r="BNW186" s="298"/>
      <c r="BNX186" s="298"/>
      <c r="BNY186" s="298"/>
      <c r="BNZ186" s="298"/>
      <c r="BOA186" s="298"/>
      <c r="BOB186" s="298"/>
      <c r="BOC186" s="298"/>
      <c r="BOD186" s="298"/>
      <c r="BOE186" s="298"/>
      <c r="BOF186" s="298"/>
      <c r="BOG186" s="298"/>
      <c r="BOH186" s="298"/>
      <c r="BOI186" s="298"/>
      <c r="BOJ186" s="298"/>
      <c r="BOK186" s="298"/>
      <c r="BOL186" s="298"/>
      <c r="BOM186" s="298"/>
      <c r="BON186" s="298"/>
      <c r="BOO186" s="298"/>
      <c r="BOP186" s="298"/>
      <c r="BOQ186" s="298"/>
      <c r="BOR186" s="298"/>
      <c r="BOS186" s="298"/>
      <c r="BOT186" s="298"/>
      <c r="BOU186" s="298"/>
      <c r="BOV186" s="298"/>
      <c r="BOW186" s="298"/>
      <c r="BOX186" s="298"/>
      <c r="BOY186" s="298"/>
      <c r="BOZ186" s="298"/>
      <c r="BPA186" s="298"/>
      <c r="BPB186" s="298"/>
      <c r="BPC186" s="298"/>
      <c r="BPD186" s="298"/>
      <c r="BPE186" s="298"/>
      <c r="BPF186" s="298"/>
      <c r="BPG186" s="298"/>
      <c r="BPH186" s="298"/>
      <c r="BPI186" s="298"/>
      <c r="BPJ186" s="298"/>
      <c r="BPK186" s="298"/>
      <c r="BPL186" s="298"/>
      <c r="BPM186" s="298"/>
      <c r="BPN186" s="298"/>
      <c r="BPO186" s="298"/>
      <c r="BPP186" s="298"/>
      <c r="BPQ186" s="298"/>
      <c r="BPR186" s="298"/>
      <c r="BPS186" s="298"/>
      <c r="BPT186" s="298"/>
      <c r="BPU186" s="298"/>
      <c r="BPV186" s="298"/>
      <c r="BPW186" s="298"/>
      <c r="BPX186" s="298"/>
      <c r="BPY186" s="298"/>
      <c r="BPZ186" s="298"/>
      <c r="BQA186" s="298"/>
      <c r="BQB186" s="298"/>
      <c r="BQC186" s="298"/>
      <c r="BQD186" s="298"/>
      <c r="BQE186" s="298"/>
      <c r="BQF186" s="298"/>
      <c r="BQG186" s="298"/>
      <c r="BQH186" s="298"/>
      <c r="BQI186" s="298"/>
      <c r="BQJ186" s="298"/>
      <c r="BQK186" s="298"/>
      <c r="BQL186" s="298"/>
      <c r="BQM186" s="298"/>
      <c r="BQN186" s="298"/>
      <c r="BQO186" s="298"/>
      <c r="BQP186" s="298"/>
      <c r="BQQ186" s="298"/>
      <c r="BQR186" s="298"/>
      <c r="BQS186" s="298"/>
      <c r="BQT186" s="298"/>
      <c r="BQU186" s="298"/>
      <c r="BQV186" s="298"/>
      <c r="BQW186" s="298"/>
      <c r="BQX186" s="298"/>
      <c r="BQY186" s="298"/>
      <c r="BQZ186" s="298"/>
      <c r="BRA186" s="298"/>
      <c r="BRB186" s="298"/>
      <c r="BRC186" s="298"/>
      <c r="BRD186" s="298"/>
      <c r="BRE186" s="298"/>
      <c r="BRF186" s="298"/>
      <c r="BRG186" s="298"/>
      <c r="BRH186" s="298"/>
      <c r="BRI186" s="298"/>
      <c r="BRJ186" s="298"/>
      <c r="BRK186" s="298"/>
      <c r="BRL186" s="298"/>
      <c r="BRM186" s="298"/>
      <c r="BRN186" s="298"/>
      <c r="BRO186" s="298"/>
      <c r="BRP186" s="298"/>
      <c r="BRQ186" s="298"/>
      <c r="BRR186" s="298"/>
      <c r="BRS186" s="298"/>
      <c r="BRT186" s="298"/>
      <c r="BRU186" s="298"/>
      <c r="BRV186" s="298"/>
      <c r="BRW186" s="298"/>
      <c r="BRX186" s="298"/>
      <c r="BRY186" s="298"/>
      <c r="BRZ186" s="298"/>
      <c r="BSA186" s="298"/>
      <c r="BSB186" s="298"/>
      <c r="BSC186" s="298"/>
      <c r="BSD186" s="298"/>
      <c r="BSE186" s="298"/>
      <c r="BSF186" s="298"/>
      <c r="BSG186" s="298"/>
      <c r="BSH186" s="298"/>
      <c r="BSI186" s="298"/>
      <c r="BSJ186" s="298"/>
      <c r="BSK186" s="298"/>
      <c r="BSL186" s="298"/>
      <c r="BSM186" s="298"/>
      <c r="BSN186" s="298"/>
      <c r="BSO186" s="298"/>
      <c r="BSP186" s="298"/>
      <c r="BSQ186" s="298"/>
      <c r="BSR186" s="298"/>
      <c r="BSS186" s="298"/>
      <c r="BST186" s="298"/>
      <c r="BSU186" s="298"/>
      <c r="BSV186" s="298"/>
      <c r="BSW186" s="298"/>
      <c r="BSX186" s="298"/>
      <c r="BSY186" s="298"/>
      <c r="BSZ186" s="298"/>
      <c r="BTA186" s="298"/>
      <c r="BTB186" s="298"/>
      <c r="BTC186" s="298"/>
      <c r="BTD186" s="298"/>
      <c r="BTE186" s="298"/>
      <c r="BTF186" s="298"/>
      <c r="BTG186" s="298"/>
      <c r="BTH186" s="298"/>
      <c r="BTI186" s="298"/>
      <c r="BTJ186" s="298"/>
      <c r="BTK186" s="298"/>
      <c r="BTL186" s="298"/>
      <c r="BTM186" s="298"/>
      <c r="BTN186" s="298"/>
      <c r="BTO186" s="298"/>
      <c r="BTP186" s="298"/>
      <c r="BTQ186" s="298"/>
      <c r="BTR186" s="298"/>
      <c r="BTS186" s="298"/>
      <c r="BTT186" s="298"/>
      <c r="BTU186" s="298"/>
      <c r="BTV186" s="298"/>
      <c r="BTW186" s="298"/>
      <c r="BTX186" s="298"/>
      <c r="BTY186" s="298"/>
      <c r="BTZ186" s="298"/>
      <c r="BUA186" s="298"/>
      <c r="BUB186" s="298"/>
      <c r="BUC186" s="298"/>
      <c r="BUD186" s="298"/>
      <c r="BUE186" s="298"/>
      <c r="BUF186" s="298"/>
      <c r="BUG186" s="298"/>
      <c r="BUH186" s="298"/>
      <c r="BUI186" s="298"/>
      <c r="BUJ186" s="298"/>
      <c r="BUK186" s="298"/>
      <c r="BUL186" s="298"/>
      <c r="BUM186" s="298"/>
      <c r="BUN186" s="298"/>
      <c r="BUO186" s="298"/>
      <c r="BUP186" s="298"/>
      <c r="BUQ186" s="298"/>
      <c r="BUR186" s="298"/>
      <c r="BUS186" s="298"/>
      <c r="BUT186" s="298"/>
      <c r="BUU186" s="298"/>
      <c r="BUV186" s="298"/>
      <c r="BUW186" s="298"/>
      <c r="BUX186" s="298"/>
      <c r="BUY186" s="298"/>
      <c r="BUZ186" s="298"/>
      <c r="BVA186" s="298"/>
      <c r="BVB186" s="298"/>
      <c r="BVC186" s="298"/>
      <c r="BVD186" s="298"/>
      <c r="BVE186" s="298"/>
      <c r="BVF186" s="298"/>
      <c r="BVG186" s="298"/>
      <c r="BVH186" s="298"/>
      <c r="BVI186" s="298"/>
      <c r="BVJ186" s="298"/>
      <c r="BVK186" s="298"/>
      <c r="BVL186" s="298"/>
      <c r="BVM186" s="298"/>
      <c r="BVN186" s="298"/>
      <c r="BVO186" s="298"/>
      <c r="BVP186" s="298"/>
      <c r="BVQ186" s="298"/>
      <c r="BVR186" s="298"/>
      <c r="BVS186" s="298"/>
      <c r="BVT186" s="298"/>
      <c r="BVU186" s="298"/>
      <c r="BVV186" s="298"/>
      <c r="BVW186" s="298"/>
      <c r="BVX186" s="298"/>
      <c r="BVY186" s="298"/>
      <c r="BVZ186" s="298"/>
      <c r="BWA186" s="298"/>
      <c r="BWB186" s="298"/>
      <c r="BWC186" s="298"/>
      <c r="BWD186" s="298"/>
      <c r="BWE186" s="298"/>
      <c r="BWF186" s="298"/>
      <c r="BWG186" s="298"/>
      <c r="BWH186" s="298"/>
      <c r="BWI186" s="298"/>
      <c r="BWJ186" s="298"/>
      <c r="BWK186" s="298"/>
      <c r="BWL186" s="298"/>
      <c r="BWM186" s="298"/>
      <c r="BWN186" s="298"/>
      <c r="BWO186" s="298"/>
      <c r="BWP186" s="298"/>
      <c r="BWQ186" s="298"/>
      <c r="BWR186" s="298"/>
      <c r="BWS186" s="298"/>
      <c r="BWT186" s="298"/>
      <c r="BWU186" s="298"/>
      <c r="BWV186" s="298"/>
      <c r="BWW186" s="298"/>
      <c r="BWX186" s="298"/>
      <c r="BWY186" s="298"/>
      <c r="BWZ186" s="298"/>
      <c r="BXA186" s="298"/>
      <c r="BXB186" s="298"/>
      <c r="BXC186" s="298"/>
      <c r="BXD186" s="298"/>
      <c r="BXE186" s="298"/>
      <c r="BXF186" s="298"/>
      <c r="BXG186" s="298"/>
      <c r="BXH186" s="298"/>
      <c r="BXI186" s="298"/>
      <c r="BXJ186" s="298"/>
      <c r="BXK186" s="298"/>
      <c r="BXL186" s="298"/>
      <c r="BXM186" s="298"/>
      <c r="BXN186" s="298"/>
      <c r="BXO186" s="298"/>
      <c r="BXP186" s="298"/>
      <c r="BXQ186" s="298"/>
      <c r="BXR186" s="298"/>
      <c r="BXS186" s="298"/>
      <c r="BXT186" s="298"/>
      <c r="BXU186" s="298"/>
      <c r="BXV186" s="298"/>
      <c r="BXW186" s="298"/>
      <c r="BXX186" s="298"/>
      <c r="BXY186" s="298"/>
      <c r="BXZ186" s="298"/>
      <c r="BYA186" s="298"/>
      <c r="BYB186" s="298"/>
      <c r="BYC186" s="298"/>
      <c r="BYD186" s="298"/>
      <c r="BYE186" s="298"/>
      <c r="BYF186" s="298"/>
      <c r="BYG186" s="298"/>
      <c r="BYH186" s="298"/>
      <c r="BYI186" s="298"/>
      <c r="BYJ186" s="298"/>
      <c r="BYK186" s="298"/>
      <c r="BYL186" s="298"/>
      <c r="BYM186" s="298"/>
      <c r="BYN186" s="298"/>
      <c r="BYO186" s="298"/>
      <c r="BYP186" s="298"/>
      <c r="BYQ186" s="298"/>
      <c r="BYR186" s="298"/>
      <c r="BYS186" s="298"/>
      <c r="BYT186" s="298"/>
      <c r="BYU186" s="298"/>
      <c r="BYV186" s="298"/>
      <c r="BYW186" s="298"/>
      <c r="BYX186" s="298"/>
      <c r="BYY186" s="298"/>
      <c r="BYZ186" s="298"/>
      <c r="BZA186" s="298"/>
      <c r="BZB186" s="298"/>
      <c r="BZC186" s="298"/>
      <c r="BZD186" s="298"/>
      <c r="BZE186" s="298"/>
      <c r="BZF186" s="298"/>
      <c r="BZG186" s="298"/>
      <c r="BZH186" s="298"/>
      <c r="BZI186" s="298"/>
      <c r="BZJ186" s="298"/>
      <c r="BZK186" s="298"/>
      <c r="BZL186" s="298"/>
      <c r="BZM186" s="298"/>
      <c r="BZN186" s="298"/>
      <c r="BZO186" s="298"/>
      <c r="BZP186" s="298"/>
      <c r="BZQ186" s="298"/>
      <c r="BZR186" s="298"/>
      <c r="BZS186" s="298"/>
      <c r="BZT186" s="298"/>
      <c r="BZU186" s="298"/>
      <c r="BZV186" s="298"/>
      <c r="BZW186" s="298"/>
      <c r="BZX186" s="298"/>
      <c r="BZY186" s="298"/>
      <c r="BZZ186" s="298"/>
      <c r="CAA186" s="298"/>
      <c r="CAB186" s="298"/>
      <c r="CAC186" s="298"/>
      <c r="CAD186" s="298"/>
      <c r="CAE186" s="298"/>
      <c r="CAF186" s="298"/>
      <c r="CAG186" s="298"/>
      <c r="CAH186" s="298"/>
      <c r="CAI186" s="298"/>
      <c r="CAJ186" s="298"/>
      <c r="CAK186" s="298"/>
      <c r="CAL186" s="298"/>
      <c r="CAM186" s="298"/>
      <c r="CAN186" s="298"/>
      <c r="CAO186" s="298"/>
      <c r="CAP186" s="298"/>
      <c r="CAQ186" s="298"/>
      <c r="CAR186" s="298"/>
      <c r="CAS186" s="298"/>
      <c r="CAT186" s="298"/>
      <c r="CAU186" s="298"/>
      <c r="CAV186" s="298"/>
      <c r="CAW186" s="298"/>
      <c r="CAX186" s="298"/>
      <c r="CAY186" s="298"/>
      <c r="CAZ186" s="298"/>
      <c r="CBA186" s="298"/>
      <c r="CBB186" s="298"/>
      <c r="CBC186" s="298"/>
      <c r="CBD186" s="298"/>
      <c r="CBE186" s="298"/>
      <c r="CBF186" s="298"/>
      <c r="CBG186" s="298"/>
      <c r="CBH186" s="298"/>
      <c r="CBI186" s="298"/>
      <c r="CBJ186" s="298"/>
      <c r="CBK186" s="298"/>
      <c r="CBL186" s="298"/>
      <c r="CBM186" s="298"/>
      <c r="CBN186" s="298"/>
      <c r="CBO186" s="298"/>
      <c r="CBP186" s="298"/>
      <c r="CBQ186" s="298"/>
      <c r="CBR186" s="298"/>
      <c r="CBS186" s="298"/>
      <c r="CBT186" s="298"/>
      <c r="CBU186" s="298"/>
      <c r="CBV186" s="298"/>
      <c r="CBW186" s="298"/>
      <c r="CBX186" s="298"/>
      <c r="CBY186" s="298"/>
      <c r="CBZ186" s="298"/>
      <c r="CCA186" s="298"/>
      <c r="CCB186" s="298"/>
      <c r="CCC186" s="298"/>
      <c r="CCD186" s="298"/>
      <c r="CCE186" s="298"/>
      <c r="CCF186" s="298"/>
      <c r="CCG186" s="298"/>
      <c r="CCH186" s="298"/>
      <c r="CCI186" s="298"/>
      <c r="CCJ186" s="298"/>
      <c r="CCK186" s="298"/>
      <c r="CCL186" s="298"/>
      <c r="CCM186" s="298"/>
      <c r="CCN186" s="298"/>
      <c r="CCO186" s="298"/>
      <c r="CCP186" s="298"/>
      <c r="CCQ186" s="298"/>
      <c r="CCR186" s="298"/>
      <c r="CCS186" s="298"/>
      <c r="CCT186" s="298"/>
      <c r="CCU186" s="298"/>
      <c r="CCV186" s="298"/>
      <c r="CCW186" s="298"/>
      <c r="CCX186" s="298"/>
      <c r="CCY186" s="298"/>
      <c r="CCZ186" s="298"/>
      <c r="CDA186" s="298"/>
      <c r="CDB186" s="298"/>
      <c r="CDC186" s="298"/>
      <c r="CDD186" s="298"/>
      <c r="CDE186" s="298"/>
      <c r="CDF186" s="298"/>
      <c r="CDG186" s="298"/>
      <c r="CDH186" s="298"/>
      <c r="CDI186" s="298"/>
      <c r="CDJ186" s="298"/>
      <c r="CDK186" s="298"/>
      <c r="CDL186" s="298"/>
      <c r="CDM186" s="298"/>
      <c r="CDN186" s="298"/>
      <c r="CDO186" s="298"/>
      <c r="CDP186" s="298"/>
      <c r="CDQ186" s="298"/>
      <c r="CDR186" s="298"/>
      <c r="CDS186" s="298"/>
      <c r="CDT186" s="298"/>
      <c r="CDU186" s="298"/>
      <c r="CDV186" s="298"/>
      <c r="CDW186" s="298"/>
      <c r="CDX186" s="298"/>
      <c r="CDY186" s="298"/>
      <c r="CDZ186" s="298"/>
      <c r="CEA186" s="298"/>
      <c r="CEB186" s="298"/>
      <c r="CEC186" s="298"/>
      <c r="CED186" s="298"/>
      <c r="CEE186" s="298"/>
      <c r="CEF186" s="298"/>
      <c r="CEG186" s="298"/>
      <c r="CEH186" s="298"/>
      <c r="CEI186" s="298"/>
      <c r="CEJ186" s="298"/>
      <c r="CEK186" s="298"/>
      <c r="CEL186" s="298"/>
      <c r="CEM186" s="298"/>
      <c r="CEN186" s="298"/>
      <c r="CEO186" s="298"/>
      <c r="CEP186" s="298"/>
      <c r="CEQ186" s="298"/>
      <c r="CER186" s="298"/>
      <c r="CES186" s="298"/>
      <c r="CET186" s="298"/>
      <c r="CEU186" s="298"/>
      <c r="CEV186" s="298"/>
      <c r="CEW186" s="298"/>
      <c r="CEX186" s="298"/>
      <c r="CEY186" s="298"/>
      <c r="CEZ186" s="298"/>
      <c r="CFA186" s="298"/>
      <c r="CFB186" s="298"/>
      <c r="CFC186" s="298"/>
      <c r="CFD186" s="298"/>
      <c r="CFE186" s="298"/>
      <c r="CFF186" s="298"/>
      <c r="CFG186" s="298"/>
      <c r="CFH186" s="298"/>
      <c r="CFI186" s="298"/>
      <c r="CFJ186" s="298"/>
      <c r="CFK186" s="298"/>
      <c r="CFL186" s="298"/>
      <c r="CFM186" s="298"/>
      <c r="CFN186" s="298"/>
      <c r="CFO186" s="298"/>
      <c r="CFP186" s="298"/>
      <c r="CFQ186" s="298"/>
      <c r="CFR186" s="298"/>
      <c r="CFS186" s="298"/>
      <c r="CFT186" s="298"/>
      <c r="CFU186" s="298"/>
      <c r="CFV186" s="298"/>
      <c r="CFW186" s="298"/>
      <c r="CFX186" s="298"/>
      <c r="CFY186" s="298"/>
      <c r="CFZ186" s="298"/>
      <c r="CGA186" s="298"/>
      <c r="CGB186" s="298"/>
      <c r="CGC186" s="298"/>
      <c r="CGD186" s="298"/>
      <c r="CGE186" s="298"/>
      <c r="CGF186" s="298"/>
      <c r="CGG186" s="298"/>
      <c r="CGH186" s="298"/>
      <c r="CGI186" s="298"/>
      <c r="CGJ186" s="298"/>
      <c r="CGK186" s="298"/>
      <c r="CGL186" s="298"/>
      <c r="CGM186" s="298"/>
      <c r="CGN186" s="298"/>
      <c r="CGO186" s="298"/>
      <c r="CGP186" s="298"/>
      <c r="CGQ186" s="298"/>
      <c r="CGR186" s="298"/>
      <c r="CGS186" s="298"/>
      <c r="CGT186" s="298"/>
      <c r="CGU186" s="298"/>
      <c r="CGV186" s="298"/>
      <c r="CGW186" s="298"/>
      <c r="CGX186" s="298"/>
      <c r="CGY186" s="298"/>
      <c r="CGZ186" s="298"/>
      <c r="CHA186" s="298"/>
      <c r="CHB186" s="298"/>
      <c r="CHC186" s="298"/>
      <c r="CHD186" s="298"/>
      <c r="CHE186" s="298"/>
      <c r="CHF186" s="298"/>
      <c r="CHG186" s="298"/>
      <c r="CHH186" s="298"/>
      <c r="CHI186" s="298"/>
      <c r="CHJ186" s="298"/>
      <c r="CHK186" s="298"/>
      <c r="CHL186" s="298"/>
      <c r="CHM186" s="298"/>
      <c r="CHN186" s="298"/>
      <c r="CHO186" s="298"/>
      <c r="CHP186" s="298"/>
      <c r="CHQ186" s="298"/>
      <c r="CHR186" s="298"/>
      <c r="CHS186" s="298"/>
      <c r="CHT186" s="298"/>
      <c r="CHU186" s="298"/>
      <c r="CHV186" s="298"/>
      <c r="CHW186" s="298"/>
      <c r="CHX186" s="298"/>
      <c r="CHY186" s="298"/>
      <c r="CHZ186" s="298"/>
      <c r="CIA186" s="298"/>
      <c r="CIB186" s="298"/>
      <c r="CIC186" s="298"/>
      <c r="CID186" s="298"/>
      <c r="CIE186" s="298"/>
      <c r="CIF186" s="298"/>
      <c r="CIG186" s="298"/>
      <c r="CIH186" s="298"/>
      <c r="CII186" s="298"/>
      <c r="CIJ186" s="298"/>
      <c r="CIK186" s="298"/>
      <c r="CIL186" s="298"/>
      <c r="CIM186" s="298"/>
      <c r="CIN186" s="298"/>
      <c r="CIO186" s="298"/>
      <c r="CIP186" s="298"/>
      <c r="CIQ186" s="298"/>
      <c r="CIR186" s="298"/>
      <c r="CIS186" s="298"/>
      <c r="CIT186" s="298"/>
      <c r="CIU186" s="298"/>
      <c r="CIV186" s="298"/>
      <c r="CIW186" s="298"/>
      <c r="CIX186" s="298"/>
      <c r="CIY186" s="298"/>
      <c r="CIZ186" s="298"/>
      <c r="CJA186" s="298"/>
      <c r="CJB186" s="298"/>
      <c r="CJC186" s="298"/>
      <c r="CJD186" s="298"/>
      <c r="CJE186" s="298"/>
      <c r="CJF186" s="298"/>
      <c r="CJG186" s="298"/>
      <c r="CJH186" s="298"/>
      <c r="CJI186" s="298"/>
      <c r="CJJ186" s="298"/>
      <c r="CJK186" s="298"/>
      <c r="CJL186" s="298"/>
      <c r="CJM186" s="298"/>
      <c r="CJN186" s="298"/>
      <c r="CJO186" s="298"/>
      <c r="CJP186" s="298"/>
      <c r="CJQ186" s="298"/>
      <c r="CJR186" s="298"/>
      <c r="CJS186" s="298"/>
      <c r="CJT186" s="298"/>
      <c r="CJU186" s="298"/>
      <c r="CJV186" s="298"/>
      <c r="CJW186" s="298"/>
      <c r="CJX186" s="298"/>
      <c r="CJY186" s="298"/>
      <c r="CJZ186" s="298"/>
      <c r="CKA186" s="298"/>
      <c r="CKB186" s="298"/>
      <c r="CKC186" s="298"/>
      <c r="CKD186" s="298"/>
      <c r="CKE186" s="298"/>
      <c r="CKF186" s="298"/>
      <c r="CKG186" s="298"/>
      <c r="CKH186" s="298"/>
      <c r="CKI186" s="298"/>
      <c r="CKJ186" s="298"/>
      <c r="CKK186" s="298"/>
      <c r="CKL186" s="298"/>
      <c r="CKM186" s="298"/>
      <c r="CKN186" s="298"/>
      <c r="CKO186" s="298"/>
      <c r="CKP186" s="298"/>
      <c r="CKQ186" s="298"/>
      <c r="CKR186" s="298"/>
      <c r="CKS186" s="298"/>
      <c r="CKT186" s="298"/>
      <c r="CKU186" s="298"/>
      <c r="CKV186" s="298"/>
      <c r="CKW186" s="298"/>
      <c r="CKX186" s="298"/>
      <c r="CKY186" s="298"/>
      <c r="CKZ186" s="298"/>
      <c r="CLA186" s="298"/>
      <c r="CLB186" s="298"/>
      <c r="CLC186" s="298"/>
      <c r="CLD186" s="298"/>
      <c r="CLE186" s="298"/>
      <c r="CLF186" s="298"/>
      <c r="CLG186" s="298"/>
      <c r="CLH186" s="298"/>
      <c r="CLI186" s="298"/>
      <c r="CLJ186" s="298"/>
      <c r="CLK186" s="298"/>
      <c r="CLL186" s="298"/>
      <c r="CLM186" s="298"/>
      <c r="CLN186" s="298"/>
      <c r="CLO186" s="298"/>
      <c r="CLP186" s="298"/>
      <c r="CLQ186" s="298"/>
      <c r="CLR186" s="298"/>
      <c r="CLS186" s="298"/>
      <c r="CLT186" s="298"/>
      <c r="CLU186" s="298"/>
      <c r="CLV186" s="298"/>
      <c r="CLW186" s="298"/>
      <c r="CLX186" s="298"/>
      <c r="CLY186" s="298"/>
      <c r="CLZ186" s="298"/>
      <c r="CMA186" s="298"/>
      <c r="CMB186" s="298"/>
      <c r="CMC186" s="298"/>
      <c r="CMD186" s="298"/>
      <c r="CME186" s="298"/>
      <c r="CMF186" s="298"/>
      <c r="CMG186" s="298"/>
      <c r="CMH186" s="298"/>
      <c r="CMI186" s="298"/>
      <c r="CMJ186" s="298"/>
      <c r="CMK186" s="298"/>
      <c r="CML186" s="298"/>
      <c r="CMM186" s="298"/>
      <c r="CMN186" s="298"/>
      <c r="CMO186" s="298"/>
      <c r="CMP186" s="298"/>
      <c r="CMQ186" s="298"/>
      <c r="CMR186" s="298"/>
      <c r="CMS186" s="298"/>
      <c r="CMT186" s="298"/>
      <c r="CMU186" s="298"/>
      <c r="CMV186" s="298"/>
      <c r="CMW186" s="298"/>
      <c r="CMX186" s="298"/>
      <c r="CMY186" s="298"/>
      <c r="CMZ186" s="298"/>
      <c r="CNA186" s="298"/>
      <c r="CNB186" s="298"/>
      <c r="CNC186" s="298"/>
      <c r="CND186" s="298"/>
      <c r="CNE186" s="298"/>
      <c r="CNF186" s="298"/>
      <c r="CNG186" s="298"/>
      <c r="CNH186" s="298"/>
      <c r="CNI186" s="298"/>
      <c r="CNJ186" s="298"/>
      <c r="CNK186" s="298"/>
      <c r="CNL186" s="298"/>
      <c r="CNM186" s="298"/>
      <c r="CNN186" s="298"/>
      <c r="CNO186" s="298"/>
      <c r="CNP186" s="298"/>
      <c r="CNQ186" s="298"/>
      <c r="CNR186" s="298"/>
      <c r="CNS186" s="298"/>
      <c r="CNT186" s="298"/>
      <c r="CNU186" s="298"/>
      <c r="CNV186" s="298"/>
      <c r="CNW186" s="298"/>
      <c r="CNX186" s="298"/>
      <c r="CNY186" s="298"/>
      <c r="CNZ186" s="298"/>
      <c r="COA186" s="298"/>
      <c r="COB186" s="298"/>
      <c r="COC186" s="298"/>
      <c r="COD186" s="298"/>
      <c r="COE186" s="298"/>
      <c r="COF186" s="298"/>
      <c r="COG186" s="298"/>
      <c r="COH186" s="298"/>
      <c r="COI186" s="298"/>
      <c r="COJ186" s="298"/>
      <c r="COK186" s="298"/>
      <c r="COL186" s="298"/>
      <c r="COM186" s="298"/>
      <c r="CON186" s="298"/>
      <c r="COO186" s="298"/>
      <c r="COP186" s="298"/>
      <c r="COQ186" s="298"/>
      <c r="COR186" s="298"/>
      <c r="COS186" s="298"/>
      <c r="COT186" s="298"/>
      <c r="COU186" s="298"/>
      <c r="COV186" s="298"/>
      <c r="COW186" s="298"/>
      <c r="COX186" s="298"/>
      <c r="COY186" s="298"/>
      <c r="COZ186" s="298"/>
      <c r="CPA186" s="298"/>
      <c r="CPB186" s="298"/>
      <c r="CPC186" s="298"/>
      <c r="CPD186" s="298"/>
      <c r="CPE186" s="298"/>
      <c r="CPF186" s="298"/>
      <c r="CPG186" s="298"/>
      <c r="CPH186" s="298"/>
      <c r="CPI186" s="298"/>
      <c r="CPJ186" s="298"/>
      <c r="CPK186" s="298"/>
      <c r="CPL186" s="298"/>
      <c r="CPM186" s="298"/>
      <c r="CPN186" s="298"/>
      <c r="CPO186" s="298"/>
      <c r="CPP186" s="298"/>
      <c r="CPQ186" s="298"/>
      <c r="CPR186" s="298"/>
      <c r="CPS186" s="298"/>
      <c r="CPT186" s="298"/>
      <c r="CPU186" s="298"/>
      <c r="CPV186" s="298"/>
      <c r="CPW186" s="298"/>
      <c r="CPX186" s="298"/>
      <c r="CPY186" s="298"/>
      <c r="CPZ186" s="298"/>
      <c r="CQA186" s="298"/>
      <c r="CQB186" s="298"/>
      <c r="CQC186" s="298"/>
      <c r="CQD186" s="298"/>
      <c r="CQE186" s="298"/>
      <c r="CQF186" s="298"/>
      <c r="CQG186" s="298"/>
      <c r="CQH186" s="298"/>
      <c r="CQI186" s="298"/>
      <c r="CQJ186" s="298"/>
      <c r="CQK186" s="298"/>
      <c r="CQL186" s="298"/>
      <c r="CQM186" s="298"/>
      <c r="CQN186" s="298"/>
      <c r="CQO186" s="298"/>
      <c r="CQP186" s="298"/>
      <c r="CQQ186" s="298"/>
      <c r="CQR186" s="298"/>
      <c r="CQS186" s="298"/>
      <c r="CQT186" s="298"/>
      <c r="CQU186" s="298"/>
      <c r="CQV186" s="298"/>
      <c r="CQW186" s="298"/>
      <c r="CQX186" s="298"/>
      <c r="CQY186" s="298"/>
      <c r="CQZ186" s="298"/>
      <c r="CRA186" s="298"/>
      <c r="CRB186" s="298"/>
      <c r="CRC186" s="298"/>
      <c r="CRD186" s="298"/>
      <c r="CRE186" s="298"/>
      <c r="CRF186" s="298"/>
      <c r="CRG186" s="298"/>
      <c r="CRH186" s="298"/>
      <c r="CRI186" s="298"/>
      <c r="CRJ186" s="298"/>
      <c r="CRK186" s="298"/>
      <c r="CRL186" s="298"/>
      <c r="CRM186" s="298"/>
      <c r="CRN186" s="298"/>
      <c r="CRO186" s="298"/>
      <c r="CRP186" s="298"/>
      <c r="CRQ186" s="298"/>
      <c r="CRR186" s="298"/>
      <c r="CRS186" s="298"/>
      <c r="CRT186" s="298"/>
      <c r="CRU186" s="298"/>
      <c r="CRV186" s="298"/>
      <c r="CRW186" s="298"/>
      <c r="CRX186" s="298"/>
      <c r="CRY186" s="298"/>
      <c r="CRZ186" s="298"/>
      <c r="CSA186" s="298"/>
      <c r="CSB186" s="298"/>
      <c r="CSC186" s="298"/>
      <c r="CSD186" s="298"/>
      <c r="CSE186" s="298"/>
      <c r="CSF186" s="298"/>
      <c r="CSG186" s="298"/>
      <c r="CSH186" s="298"/>
      <c r="CSI186" s="298"/>
      <c r="CSJ186" s="298"/>
      <c r="CSK186" s="298"/>
      <c r="CSL186" s="298"/>
      <c r="CSM186" s="298"/>
      <c r="CSN186" s="298"/>
      <c r="CSO186" s="298"/>
      <c r="CSP186" s="298"/>
      <c r="CSQ186" s="298"/>
      <c r="CSR186" s="298"/>
      <c r="CSS186" s="298"/>
      <c r="CST186" s="298"/>
      <c r="CSU186" s="298"/>
      <c r="CSV186" s="298"/>
      <c r="CSW186" s="298"/>
      <c r="CSX186" s="298"/>
      <c r="CSY186" s="298"/>
      <c r="CSZ186" s="298"/>
      <c r="CTA186" s="298"/>
      <c r="CTB186" s="298"/>
      <c r="CTC186" s="298"/>
      <c r="CTD186" s="298"/>
      <c r="CTE186" s="298"/>
      <c r="CTF186" s="298"/>
      <c r="CTG186" s="298"/>
      <c r="CTH186" s="298"/>
      <c r="CTI186" s="298"/>
      <c r="CTJ186" s="298"/>
      <c r="CTK186" s="298"/>
      <c r="CTL186" s="298"/>
      <c r="CTM186" s="298"/>
      <c r="CTN186" s="298"/>
      <c r="CTO186" s="298"/>
      <c r="CTP186" s="298"/>
      <c r="CTQ186" s="298"/>
      <c r="CTR186" s="298"/>
      <c r="CTS186" s="298"/>
      <c r="CTT186" s="298"/>
      <c r="CTU186" s="298"/>
      <c r="CTV186" s="298"/>
      <c r="CTW186" s="298"/>
      <c r="CTX186" s="298"/>
      <c r="CTY186" s="298"/>
      <c r="CTZ186" s="298"/>
      <c r="CUA186" s="298"/>
      <c r="CUB186" s="298"/>
      <c r="CUC186" s="298"/>
      <c r="CUD186" s="298"/>
      <c r="CUE186" s="298"/>
      <c r="CUF186" s="298"/>
      <c r="CUG186" s="298"/>
      <c r="CUH186" s="298"/>
      <c r="CUI186" s="298"/>
      <c r="CUJ186" s="298"/>
      <c r="CUK186" s="298"/>
      <c r="CUL186" s="298"/>
      <c r="CUM186" s="298"/>
      <c r="CUN186" s="298"/>
      <c r="CUO186" s="298"/>
      <c r="CUP186" s="298"/>
      <c r="CUQ186" s="298"/>
      <c r="CUR186" s="298"/>
      <c r="CUS186" s="298"/>
      <c r="CUT186" s="298"/>
      <c r="CUU186" s="298"/>
      <c r="CUV186" s="298"/>
      <c r="CUW186" s="298"/>
      <c r="CUX186" s="298"/>
      <c r="CUY186" s="298"/>
      <c r="CUZ186" s="298"/>
      <c r="CVA186" s="298"/>
      <c r="CVB186" s="298"/>
      <c r="CVC186" s="298"/>
      <c r="CVD186" s="298"/>
      <c r="CVE186" s="298"/>
      <c r="CVF186" s="298"/>
      <c r="CVG186" s="298"/>
      <c r="CVH186" s="298"/>
      <c r="CVI186" s="298"/>
      <c r="CVJ186" s="298"/>
      <c r="CVK186" s="298"/>
      <c r="CVL186" s="298"/>
      <c r="CVM186" s="298"/>
      <c r="CVN186" s="298"/>
      <c r="CVO186" s="298"/>
      <c r="CVP186" s="298"/>
      <c r="CVQ186" s="298"/>
      <c r="CVR186" s="298"/>
      <c r="CVS186" s="298"/>
      <c r="CVT186" s="298"/>
      <c r="CVU186" s="298"/>
      <c r="CVV186" s="298"/>
      <c r="CVW186" s="298"/>
      <c r="CVX186" s="298"/>
      <c r="CVY186" s="298"/>
      <c r="CVZ186" s="298"/>
      <c r="CWA186" s="298"/>
      <c r="CWB186" s="298"/>
      <c r="CWC186" s="298"/>
      <c r="CWD186" s="298"/>
      <c r="CWE186" s="298"/>
      <c r="CWF186" s="298"/>
      <c r="CWG186" s="298"/>
      <c r="CWH186" s="298"/>
      <c r="CWI186" s="298"/>
      <c r="CWJ186" s="298"/>
      <c r="CWK186" s="298"/>
      <c r="CWL186" s="298"/>
      <c r="CWM186" s="298"/>
      <c r="CWN186" s="298"/>
      <c r="CWO186" s="298"/>
      <c r="CWP186" s="298"/>
      <c r="CWQ186" s="298"/>
      <c r="CWR186" s="298"/>
      <c r="CWS186" s="298"/>
      <c r="CWT186" s="298"/>
      <c r="CWU186" s="298"/>
      <c r="CWV186" s="298"/>
      <c r="CWW186" s="298"/>
      <c r="CWX186" s="298"/>
      <c r="CWY186" s="298"/>
      <c r="CWZ186" s="298"/>
      <c r="CXA186" s="298"/>
      <c r="CXB186" s="298"/>
      <c r="CXC186" s="298"/>
      <c r="CXD186" s="298"/>
      <c r="CXE186" s="298"/>
      <c r="CXF186" s="298"/>
      <c r="CXG186" s="298"/>
      <c r="CXH186" s="298"/>
      <c r="CXI186" s="298"/>
      <c r="CXJ186" s="298"/>
      <c r="CXK186" s="298"/>
      <c r="CXL186" s="298"/>
      <c r="CXM186" s="298"/>
      <c r="CXN186" s="298"/>
      <c r="CXO186" s="298"/>
      <c r="CXP186" s="298"/>
      <c r="CXQ186" s="298"/>
      <c r="CXR186" s="298"/>
      <c r="CXS186" s="298"/>
      <c r="CXT186" s="298"/>
      <c r="CXU186" s="298"/>
      <c r="CXV186" s="298"/>
      <c r="CXW186" s="298"/>
      <c r="CXX186" s="298"/>
      <c r="CXY186" s="298"/>
      <c r="CXZ186" s="298"/>
      <c r="CYA186" s="298"/>
      <c r="CYB186" s="298"/>
      <c r="CYC186" s="298"/>
      <c r="CYD186" s="298"/>
      <c r="CYE186" s="298"/>
      <c r="CYF186" s="298"/>
      <c r="CYG186" s="298"/>
      <c r="CYH186" s="298"/>
      <c r="CYI186" s="298"/>
      <c r="CYJ186" s="298"/>
      <c r="CYK186" s="298"/>
      <c r="CYL186" s="298"/>
      <c r="CYM186" s="298"/>
      <c r="CYN186" s="298"/>
      <c r="CYO186" s="298"/>
      <c r="CYP186" s="298"/>
      <c r="CYQ186" s="298"/>
      <c r="CYR186" s="298"/>
      <c r="CYS186" s="298"/>
      <c r="CYT186" s="298"/>
      <c r="CYU186" s="298"/>
      <c r="CYV186" s="298"/>
      <c r="CYW186" s="298"/>
      <c r="CYX186" s="298"/>
      <c r="CYY186" s="298"/>
      <c r="CYZ186" s="298"/>
      <c r="CZA186" s="298"/>
      <c r="CZB186" s="298"/>
      <c r="CZC186" s="298"/>
      <c r="CZD186" s="298"/>
      <c r="CZE186" s="298"/>
      <c r="CZF186" s="298"/>
      <c r="CZG186" s="298"/>
      <c r="CZH186" s="298"/>
      <c r="CZI186" s="298"/>
      <c r="CZJ186" s="298"/>
      <c r="CZK186" s="298"/>
      <c r="CZL186" s="298"/>
      <c r="CZM186" s="298"/>
      <c r="CZN186" s="298"/>
      <c r="CZO186" s="298"/>
      <c r="CZP186" s="298"/>
      <c r="CZQ186" s="298"/>
      <c r="CZR186" s="298"/>
      <c r="CZS186" s="298"/>
      <c r="CZT186" s="298"/>
      <c r="CZU186" s="298"/>
      <c r="CZV186" s="298"/>
      <c r="CZW186" s="298"/>
      <c r="CZX186" s="298"/>
      <c r="CZY186" s="298"/>
      <c r="CZZ186" s="298"/>
      <c r="DAA186" s="298"/>
      <c r="DAB186" s="298"/>
      <c r="DAC186" s="298"/>
      <c r="DAD186" s="298"/>
      <c r="DAE186" s="298"/>
      <c r="DAF186" s="298"/>
      <c r="DAG186" s="298"/>
      <c r="DAH186" s="298"/>
      <c r="DAI186" s="298"/>
      <c r="DAJ186" s="298"/>
      <c r="DAK186" s="298"/>
      <c r="DAL186" s="298"/>
      <c r="DAM186" s="298"/>
      <c r="DAN186" s="298"/>
      <c r="DAO186" s="298"/>
      <c r="DAP186" s="298"/>
      <c r="DAQ186" s="298"/>
      <c r="DAR186" s="298"/>
      <c r="DAS186" s="298"/>
      <c r="DAT186" s="298"/>
      <c r="DAU186" s="298"/>
      <c r="DAV186" s="298"/>
      <c r="DAW186" s="298"/>
      <c r="DAX186" s="298"/>
      <c r="DAY186" s="298"/>
      <c r="DAZ186" s="298"/>
      <c r="DBA186" s="298"/>
      <c r="DBB186" s="298"/>
      <c r="DBC186" s="298"/>
      <c r="DBD186" s="298"/>
      <c r="DBE186" s="298"/>
      <c r="DBF186" s="298"/>
      <c r="DBG186" s="298"/>
      <c r="DBH186" s="298"/>
      <c r="DBI186" s="298"/>
      <c r="DBJ186" s="298"/>
      <c r="DBK186" s="298"/>
      <c r="DBL186" s="298"/>
      <c r="DBM186" s="298"/>
      <c r="DBN186" s="298"/>
      <c r="DBO186" s="298"/>
      <c r="DBP186" s="298"/>
      <c r="DBQ186" s="298"/>
      <c r="DBR186" s="298"/>
      <c r="DBS186" s="298"/>
      <c r="DBT186" s="298"/>
      <c r="DBU186" s="298"/>
      <c r="DBV186" s="298"/>
      <c r="DBW186" s="298"/>
      <c r="DBX186" s="298"/>
      <c r="DBY186" s="298"/>
      <c r="DBZ186" s="298"/>
      <c r="DCA186" s="298"/>
      <c r="DCB186" s="298"/>
      <c r="DCC186" s="298"/>
      <c r="DCD186" s="298"/>
      <c r="DCE186" s="298"/>
      <c r="DCF186" s="298"/>
      <c r="DCG186" s="298"/>
      <c r="DCH186" s="298"/>
      <c r="DCI186" s="298"/>
      <c r="DCJ186" s="298"/>
      <c r="DCK186" s="298"/>
      <c r="DCL186" s="298"/>
      <c r="DCM186" s="298"/>
      <c r="DCN186" s="298"/>
      <c r="DCO186" s="298"/>
      <c r="DCP186" s="298"/>
      <c r="DCQ186" s="298"/>
      <c r="DCR186" s="298"/>
      <c r="DCS186" s="298"/>
      <c r="DCT186" s="298"/>
      <c r="DCU186" s="298"/>
      <c r="DCV186" s="298"/>
      <c r="DCW186" s="298"/>
      <c r="DCX186" s="298"/>
      <c r="DCY186" s="298"/>
      <c r="DCZ186" s="298"/>
      <c r="DDA186" s="298"/>
      <c r="DDB186" s="298"/>
      <c r="DDC186" s="298"/>
      <c r="DDD186" s="298"/>
      <c r="DDE186" s="298"/>
      <c r="DDF186" s="298"/>
      <c r="DDG186" s="298"/>
      <c r="DDH186" s="298"/>
      <c r="DDI186" s="298"/>
      <c r="DDJ186" s="298"/>
      <c r="DDK186" s="298"/>
      <c r="DDL186" s="298"/>
      <c r="DDM186" s="298"/>
      <c r="DDN186" s="298"/>
      <c r="DDO186" s="298"/>
      <c r="DDP186" s="298"/>
      <c r="DDQ186" s="298"/>
      <c r="DDR186" s="298"/>
      <c r="DDS186" s="298"/>
      <c r="DDT186" s="298"/>
      <c r="DDU186" s="298"/>
      <c r="DDV186" s="298"/>
      <c r="DDW186" s="298"/>
      <c r="DDX186" s="298"/>
      <c r="DDY186" s="298"/>
      <c r="DDZ186" s="298"/>
      <c r="DEA186" s="298"/>
      <c r="DEB186" s="298"/>
      <c r="DEC186" s="298"/>
      <c r="DED186" s="298"/>
      <c r="DEE186" s="298"/>
      <c r="DEF186" s="298"/>
      <c r="DEG186" s="298"/>
      <c r="DEH186" s="298"/>
      <c r="DEI186" s="298"/>
      <c r="DEJ186" s="298"/>
      <c r="DEK186" s="298"/>
      <c r="DEL186" s="298"/>
      <c r="DEM186" s="298"/>
      <c r="DEN186" s="298"/>
      <c r="DEO186" s="298"/>
      <c r="DEP186" s="298"/>
      <c r="DEQ186" s="298"/>
      <c r="DER186" s="298"/>
      <c r="DES186" s="298"/>
      <c r="DET186" s="298"/>
      <c r="DEU186" s="298"/>
      <c r="DEV186" s="298"/>
      <c r="DEW186" s="298"/>
      <c r="DEX186" s="298"/>
      <c r="DEY186" s="298"/>
      <c r="DEZ186" s="298"/>
      <c r="DFA186" s="298"/>
      <c r="DFB186" s="298"/>
      <c r="DFC186" s="298"/>
      <c r="DFD186" s="298"/>
      <c r="DFE186" s="298"/>
      <c r="DFF186" s="298"/>
      <c r="DFG186" s="298"/>
      <c r="DFH186" s="298"/>
      <c r="DFI186" s="298"/>
      <c r="DFJ186" s="298"/>
      <c r="DFK186" s="298"/>
      <c r="DFL186" s="298"/>
      <c r="DFM186" s="298"/>
      <c r="DFN186" s="298"/>
      <c r="DFO186" s="298"/>
      <c r="DFP186" s="298"/>
      <c r="DFQ186" s="298"/>
      <c r="DFR186" s="298"/>
      <c r="DFS186" s="298"/>
      <c r="DFT186" s="298"/>
      <c r="DFU186" s="298"/>
      <c r="DFV186" s="298"/>
      <c r="DFW186" s="298"/>
      <c r="DFX186" s="298"/>
      <c r="DFY186" s="298"/>
      <c r="DFZ186" s="298"/>
      <c r="DGA186" s="298"/>
      <c r="DGB186" s="298"/>
      <c r="DGC186" s="298"/>
      <c r="DGD186" s="298"/>
      <c r="DGE186" s="298"/>
      <c r="DGF186" s="298"/>
      <c r="DGG186" s="298"/>
      <c r="DGH186" s="298"/>
      <c r="DGI186" s="298"/>
      <c r="DGJ186" s="298"/>
      <c r="DGK186" s="298"/>
      <c r="DGL186" s="298"/>
      <c r="DGM186" s="298"/>
      <c r="DGN186" s="298"/>
      <c r="DGO186" s="298"/>
      <c r="DGP186" s="298"/>
      <c r="DGQ186" s="298"/>
      <c r="DGR186" s="298"/>
      <c r="DGS186" s="298"/>
      <c r="DGT186" s="298"/>
      <c r="DGU186" s="298"/>
      <c r="DGV186" s="298"/>
      <c r="DGW186" s="298"/>
      <c r="DGX186" s="298"/>
      <c r="DGY186" s="298"/>
      <c r="DGZ186" s="298"/>
      <c r="DHA186" s="298"/>
      <c r="DHB186" s="298"/>
      <c r="DHC186" s="298"/>
      <c r="DHD186" s="298"/>
      <c r="DHE186" s="298"/>
      <c r="DHF186" s="298"/>
      <c r="DHG186" s="298"/>
      <c r="DHH186" s="298"/>
      <c r="DHI186" s="298"/>
      <c r="DHJ186" s="298"/>
      <c r="DHK186" s="298"/>
      <c r="DHL186" s="298"/>
      <c r="DHM186" s="298"/>
      <c r="DHN186" s="298"/>
      <c r="DHO186" s="298"/>
      <c r="DHP186" s="298"/>
      <c r="DHQ186" s="298"/>
      <c r="DHR186" s="298"/>
      <c r="DHS186" s="298"/>
      <c r="DHT186" s="298"/>
      <c r="DHU186" s="298"/>
      <c r="DHV186" s="298"/>
      <c r="DHW186" s="298"/>
      <c r="DHX186" s="298"/>
      <c r="DHY186" s="298"/>
      <c r="DHZ186" s="298"/>
      <c r="DIA186" s="298"/>
      <c r="DIB186" s="298"/>
      <c r="DIC186" s="298"/>
      <c r="DID186" s="298"/>
      <c r="DIE186" s="298"/>
      <c r="DIF186" s="298"/>
      <c r="DIG186" s="298"/>
      <c r="DIH186" s="298"/>
      <c r="DII186" s="298"/>
      <c r="DIJ186" s="298"/>
      <c r="DIK186" s="298"/>
      <c r="DIL186" s="298"/>
      <c r="DIM186" s="298"/>
      <c r="DIN186" s="298"/>
      <c r="DIO186" s="298"/>
      <c r="DIP186" s="298"/>
      <c r="DIQ186" s="298"/>
      <c r="DIR186" s="298"/>
      <c r="DIS186" s="298"/>
      <c r="DIT186" s="298"/>
      <c r="DIU186" s="298"/>
      <c r="DIV186" s="298"/>
      <c r="DIW186" s="298"/>
      <c r="DIX186" s="298"/>
      <c r="DIY186" s="298"/>
      <c r="DIZ186" s="298"/>
      <c r="DJA186" s="298"/>
      <c r="DJB186" s="298"/>
      <c r="DJC186" s="298"/>
      <c r="DJD186" s="298"/>
      <c r="DJE186" s="298"/>
      <c r="DJF186" s="298"/>
      <c r="DJG186" s="298"/>
      <c r="DJH186" s="298"/>
      <c r="DJI186" s="298"/>
      <c r="DJJ186" s="298"/>
      <c r="DJK186" s="298"/>
      <c r="DJL186" s="298"/>
      <c r="DJM186" s="298"/>
      <c r="DJN186" s="298"/>
      <c r="DJO186" s="298"/>
      <c r="DJP186" s="298"/>
      <c r="DJQ186" s="298"/>
      <c r="DJR186" s="298"/>
      <c r="DJS186" s="298"/>
      <c r="DJT186" s="298"/>
      <c r="DJU186" s="298"/>
      <c r="DJV186" s="298"/>
      <c r="DJW186" s="298"/>
      <c r="DJX186" s="298"/>
      <c r="DJY186" s="298"/>
      <c r="DJZ186" s="298"/>
      <c r="DKA186" s="298"/>
      <c r="DKB186" s="298"/>
      <c r="DKC186" s="298"/>
      <c r="DKD186" s="298"/>
      <c r="DKE186" s="298"/>
      <c r="DKF186" s="298"/>
      <c r="DKG186" s="298"/>
      <c r="DKH186" s="298"/>
      <c r="DKI186" s="298"/>
      <c r="DKJ186" s="298"/>
      <c r="DKK186" s="298"/>
      <c r="DKL186" s="298"/>
      <c r="DKM186" s="298"/>
      <c r="DKN186" s="298"/>
      <c r="DKO186" s="298"/>
      <c r="DKP186" s="298"/>
      <c r="DKQ186" s="298"/>
      <c r="DKR186" s="298"/>
      <c r="DKS186" s="298"/>
      <c r="DKT186" s="298"/>
      <c r="DKU186" s="298"/>
      <c r="DKV186" s="298"/>
      <c r="DKW186" s="298"/>
      <c r="DKX186" s="298"/>
      <c r="DKY186" s="298"/>
      <c r="DKZ186" s="298"/>
      <c r="DLA186" s="298"/>
      <c r="DLB186" s="298"/>
      <c r="DLC186" s="298"/>
      <c r="DLD186" s="298"/>
      <c r="DLE186" s="298"/>
      <c r="DLF186" s="298"/>
      <c r="DLG186" s="298"/>
      <c r="DLH186" s="298"/>
      <c r="DLI186" s="298"/>
      <c r="DLJ186" s="298"/>
      <c r="DLK186" s="298"/>
      <c r="DLL186" s="298"/>
      <c r="DLM186" s="298"/>
      <c r="DLN186" s="298"/>
      <c r="DLO186" s="298"/>
      <c r="DLP186" s="298"/>
      <c r="DLQ186" s="298"/>
      <c r="DLR186" s="298"/>
      <c r="DLS186" s="298"/>
      <c r="DLT186" s="298"/>
      <c r="DLU186" s="298"/>
      <c r="DLV186" s="298"/>
      <c r="DLW186" s="298"/>
      <c r="DLX186" s="298"/>
      <c r="DLY186" s="298"/>
      <c r="DLZ186" s="298"/>
      <c r="DMA186" s="298"/>
      <c r="DMB186" s="298"/>
      <c r="DMC186" s="298"/>
      <c r="DMD186" s="298"/>
      <c r="DME186" s="298"/>
      <c r="DMF186" s="298"/>
      <c r="DMG186" s="298"/>
      <c r="DMH186" s="298"/>
      <c r="DMI186" s="298"/>
      <c r="DMJ186" s="298"/>
      <c r="DMK186" s="298"/>
      <c r="DML186" s="298"/>
      <c r="DMM186" s="298"/>
      <c r="DMN186" s="298"/>
      <c r="DMO186" s="298"/>
      <c r="DMP186" s="298"/>
      <c r="DMQ186" s="298"/>
      <c r="DMR186" s="298"/>
      <c r="DMS186" s="298"/>
      <c r="DMT186" s="298"/>
      <c r="DMU186" s="298"/>
      <c r="DMV186" s="298"/>
      <c r="DMW186" s="298"/>
      <c r="DMX186" s="298"/>
      <c r="DMY186" s="298"/>
      <c r="DMZ186" s="298"/>
      <c r="DNA186" s="298"/>
      <c r="DNB186" s="298"/>
      <c r="DNC186" s="298"/>
      <c r="DND186" s="298"/>
      <c r="DNE186" s="298"/>
      <c r="DNF186" s="298"/>
      <c r="DNG186" s="298"/>
      <c r="DNH186" s="298"/>
      <c r="DNI186" s="298"/>
      <c r="DNJ186" s="298"/>
      <c r="DNK186" s="298"/>
      <c r="DNL186" s="298"/>
      <c r="DNM186" s="298"/>
      <c r="DNN186" s="298"/>
      <c r="DNO186" s="298"/>
      <c r="DNP186" s="298"/>
      <c r="DNQ186" s="298"/>
      <c r="DNR186" s="298"/>
      <c r="DNS186" s="298"/>
      <c r="DNT186" s="298"/>
      <c r="DNU186" s="298"/>
      <c r="DNV186" s="298"/>
      <c r="DNW186" s="298"/>
      <c r="DNX186" s="298"/>
      <c r="DNY186" s="298"/>
      <c r="DNZ186" s="298"/>
      <c r="DOA186" s="298"/>
      <c r="DOB186" s="298"/>
      <c r="DOC186" s="298"/>
      <c r="DOD186" s="298"/>
      <c r="DOE186" s="298"/>
      <c r="DOF186" s="298"/>
      <c r="DOG186" s="298"/>
      <c r="DOH186" s="298"/>
      <c r="DOI186" s="298"/>
      <c r="DOJ186" s="298"/>
      <c r="DOK186" s="298"/>
      <c r="DOL186" s="298"/>
      <c r="DOM186" s="298"/>
      <c r="DON186" s="298"/>
      <c r="DOO186" s="298"/>
      <c r="DOP186" s="298"/>
      <c r="DOQ186" s="298"/>
      <c r="DOR186" s="298"/>
      <c r="DOS186" s="298"/>
      <c r="DOT186" s="298"/>
      <c r="DOU186" s="298"/>
      <c r="DOV186" s="298"/>
      <c r="DOW186" s="298"/>
      <c r="DOX186" s="298"/>
      <c r="DOY186" s="298"/>
      <c r="DOZ186" s="298"/>
      <c r="DPA186" s="298"/>
      <c r="DPB186" s="298"/>
      <c r="DPC186" s="298"/>
      <c r="DPD186" s="298"/>
      <c r="DPE186" s="298"/>
      <c r="DPF186" s="298"/>
      <c r="DPG186" s="298"/>
      <c r="DPH186" s="298"/>
      <c r="DPI186" s="298"/>
      <c r="DPJ186" s="298"/>
      <c r="DPK186" s="298"/>
      <c r="DPL186" s="298"/>
      <c r="DPM186" s="298"/>
      <c r="DPN186" s="298"/>
      <c r="DPO186" s="298"/>
      <c r="DPP186" s="298"/>
      <c r="DPQ186" s="298"/>
      <c r="DPR186" s="298"/>
      <c r="DPS186" s="298"/>
      <c r="DPT186" s="298"/>
      <c r="DPU186" s="298"/>
      <c r="DPV186" s="298"/>
      <c r="DPW186" s="298"/>
      <c r="DPX186" s="298"/>
      <c r="DPY186" s="298"/>
      <c r="DPZ186" s="298"/>
      <c r="DQA186" s="298"/>
      <c r="DQB186" s="298"/>
      <c r="DQC186" s="298"/>
      <c r="DQD186" s="298"/>
      <c r="DQE186" s="298"/>
      <c r="DQF186" s="298"/>
      <c r="DQG186" s="298"/>
      <c r="DQH186" s="298"/>
      <c r="DQI186" s="298"/>
      <c r="DQJ186" s="298"/>
      <c r="DQK186" s="298"/>
      <c r="DQL186" s="298"/>
      <c r="DQM186" s="298"/>
      <c r="DQN186" s="298"/>
      <c r="DQO186" s="298"/>
      <c r="DQP186" s="298"/>
      <c r="DQQ186" s="298"/>
      <c r="DQR186" s="298"/>
      <c r="DQS186" s="298"/>
      <c r="DQT186" s="298"/>
      <c r="DQU186" s="298"/>
      <c r="DQV186" s="298"/>
      <c r="DQW186" s="298"/>
      <c r="DQX186" s="298"/>
      <c r="DQY186" s="298"/>
      <c r="DQZ186" s="298"/>
      <c r="DRA186" s="298"/>
      <c r="DRB186" s="298"/>
      <c r="DRC186" s="298"/>
      <c r="DRD186" s="298"/>
      <c r="DRE186" s="298"/>
      <c r="DRF186" s="298"/>
      <c r="DRG186" s="298"/>
      <c r="DRH186" s="298"/>
      <c r="DRI186" s="298"/>
      <c r="DRJ186" s="298"/>
      <c r="DRK186" s="298"/>
      <c r="DRL186" s="298"/>
      <c r="DRM186" s="298"/>
      <c r="DRN186" s="298"/>
      <c r="DRO186" s="298"/>
      <c r="DRP186" s="298"/>
      <c r="DRQ186" s="298"/>
      <c r="DRR186" s="298"/>
      <c r="DRS186" s="298"/>
      <c r="DRT186" s="298"/>
      <c r="DRU186" s="298"/>
      <c r="DRV186" s="298"/>
      <c r="DRW186" s="298"/>
      <c r="DRX186" s="298"/>
      <c r="DRY186" s="298"/>
      <c r="DRZ186" s="298"/>
      <c r="DSA186" s="298"/>
      <c r="DSB186" s="298"/>
      <c r="DSC186" s="298"/>
      <c r="DSD186" s="298"/>
      <c r="DSE186" s="298"/>
      <c r="DSF186" s="298"/>
      <c r="DSG186" s="298"/>
      <c r="DSH186" s="298"/>
      <c r="DSI186" s="298"/>
      <c r="DSJ186" s="298"/>
      <c r="DSK186" s="298"/>
      <c r="DSL186" s="298"/>
      <c r="DSM186" s="298"/>
      <c r="DSN186" s="298"/>
      <c r="DSO186" s="298"/>
      <c r="DSP186" s="298"/>
      <c r="DSQ186" s="298"/>
      <c r="DSR186" s="298"/>
      <c r="DSS186" s="298"/>
      <c r="DST186" s="298"/>
      <c r="DSU186" s="298"/>
      <c r="DSV186" s="298"/>
      <c r="DSW186" s="298"/>
      <c r="DSX186" s="298"/>
      <c r="DSY186" s="298"/>
      <c r="DSZ186" s="298"/>
      <c r="DTA186" s="298"/>
      <c r="DTB186" s="298"/>
      <c r="DTC186" s="298"/>
      <c r="DTD186" s="298"/>
      <c r="DTE186" s="298"/>
      <c r="DTF186" s="298"/>
      <c r="DTG186" s="298"/>
      <c r="DTH186" s="298"/>
      <c r="DTI186" s="298"/>
      <c r="DTJ186" s="298"/>
      <c r="DTK186" s="298"/>
      <c r="DTL186" s="298"/>
      <c r="DTM186" s="298"/>
      <c r="DTN186" s="298"/>
      <c r="DTO186" s="298"/>
      <c r="DTP186" s="298"/>
      <c r="DTQ186" s="298"/>
      <c r="DTR186" s="298"/>
      <c r="DTS186" s="298"/>
      <c r="DTT186" s="298"/>
      <c r="DTU186" s="298"/>
      <c r="DTV186" s="298"/>
      <c r="DTW186" s="298"/>
      <c r="DTX186" s="298"/>
      <c r="DTY186" s="298"/>
      <c r="DTZ186" s="298"/>
      <c r="DUA186" s="298"/>
      <c r="DUB186" s="298"/>
      <c r="DUC186" s="298"/>
      <c r="DUD186" s="298"/>
      <c r="DUE186" s="298"/>
      <c r="DUF186" s="298"/>
      <c r="DUG186" s="298"/>
      <c r="DUH186" s="298"/>
      <c r="DUI186" s="298"/>
      <c r="DUJ186" s="298"/>
      <c r="DUK186" s="298"/>
      <c r="DUL186" s="298"/>
      <c r="DUM186" s="298"/>
      <c r="DUN186" s="298"/>
      <c r="DUO186" s="298"/>
      <c r="DUP186" s="298"/>
      <c r="DUQ186" s="298"/>
      <c r="DUR186" s="298"/>
      <c r="DUS186" s="298"/>
      <c r="DUT186" s="298"/>
      <c r="DUU186" s="298"/>
      <c r="DUV186" s="298"/>
      <c r="DUW186" s="298"/>
      <c r="DUX186" s="298"/>
      <c r="DUY186" s="298"/>
      <c r="DUZ186" s="298"/>
      <c r="DVA186" s="298"/>
      <c r="DVB186" s="298"/>
      <c r="DVC186" s="298"/>
      <c r="DVD186" s="298"/>
      <c r="DVE186" s="298"/>
      <c r="DVF186" s="298"/>
      <c r="DVG186" s="298"/>
      <c r="DVH186" s="298"/>
      <c r="DVI186" s="298"/>
      <c r="DVJ186" s="298"/>
      <c r="DVK186" s="298"/>
      <c r="DVL186" s="298"/>
      <c r="DVM186" s="298"/>
      <c r="DVN186" s="298"/>
      <c r="DVO186" s="298"/>
      <c r="DVP186" s="298"/>
      <c r="DVQ186" s="298"/>
      <c r="DVR186" s="298"/>
      <c r="DVS186" s="298"/>
      <c r="DVT186" s="298"/>
      <c r="DVU186" s="298"/>
      <c r="DVV186" s="298"/>
      <c r="DVW186" s="298"/>
      <c r="DVX186" s="298"/>
      <c r="DVY186" s="298"/>
      <c r="DVZ186" s="298"/>
      <c r="DWA186" s="298"/>
      <c r="DWB186" s="298"/>
      <c r="DWC186" s="298"/>
      <c r="DWD186" s="298"/>
      <c r="DWE186" s="298"/>
      <c r="DWF186" s="298"/>
      <c r="DWG186" s="298"/>
      <c r="DWH186" s="298"/>
      <c r="DWI186" s="298"/>
      <c r="DWJ186" s="298"/>
      <c r="DWK186" s="298"/>
      <c r="DWL186" s="298"/>
      <c r="DWM186" s="298"/>
      <c r="DWN186" s="298"/>
      <c r="DWO186" s="298"/>
      <c r="DWP186" s="298"/>
      <c r="DWQ186" s="298"/>
      <c r="DWR186" s="298"/>
      <c r="DWS186" s="298"/>
      <c r="DWT186" s="298"/>
      <c r="DWU186" s="298"/>
      <c r="DWV186" s="298"/>
      <c r="DWW186" s="298"/>
      <c r="DWX186" s="298"/>
      <c r="DWY186" s="298"/>
      <c r="DWZ186" s="298"/>
      <c r="DXA186" s="298"/>
      <c r="DXB186" s="298"/>
      <c r="DXC186" s="298"/>
      <c r="DXD186" s="298"/>
      <c r="DXE186" s="298"/>
      <c r="DXF186" s="298"/>
      <c r="DXG186" s="298"/>
      <c r="DXH186" s="298"/>
      <c r="DXI186" s="298"/>
      <c r="DXJ186" s="298"/>
      <c r="DXK186" s="298"/>
      <c r="DXL186" s="298"/>
      <c r="DXM186" s="298"/>
      <c r="DXN186" s="298"/>
      <c r="DXO186" s="298"/>
      <c r="DXP186" s="298"/>
      <c r="DXQ186" s="298"/>
      <c r="DXR186" s="298"/>
      <c r="DXS186" s="298"/>
      <c r="DXT186" s="298"/>
      <c r="DXU186" s="298"/>
      <c r="DXV186" s="298"/>
      <c r="DXW186" s="298"/>
      <c r="DXX186" s="298"/>
      <c r="DXY186" s="298"/>
      <c r="DXZ186" s="298"/>
      <c r="DYA186" s="298"/>
      <c r="DYB186" s="298"/>
      <c r="DYC186" s="298"/>
      <c r="DYD186" s="298"/>
      <c r="DYE186" s="298"/>
      <c r="DYF186" s="298"/>
      <c r="DYG186" s="298"/>
      <c r="DYH186" s="298"/>
      <c r="DYI186" s="298"/>
      <c r="DYJ186" s="298"/>
      <c r="DYK186" s="298"/>
      <c r="DYL186" s="298"/>
      <c r="DYM186" s="298"/>
      <c r="DYN186" s="298"/>
      <c r="DYO186" s="298"/>
      <c r="DYP186" s="298"/>
      <c r="DYQ186" s="298"/>
      <c r="DYR186" s="298"/>
      <c r="DYS186" s="298"/>
      <c r="DYT186" s="298"/>
      <c r="DYU186" s="298"/>
      <c r="DYV186" s="298"/>
      <c r="DYW186" s="298"/>
      <c r="DYX186" s="298"/>
      <c r="DYY186" s="298"/>
      <c r="DYZ186" s="298"/>
      <c r="DZA186" s="298"/>
      <c r="DZB186" s="298"/>
      <c r="DZC186" s="298"/>
      <c r="DZD186" s="298"/>
      <c r="DZE186" s="298"/>
      <c r="DZF186" s="298"/>
      <c r="DZG186" s="298"/>
      <c r="DZH186" s="298"/>
      <c r="DZI186" s="298"/>
      <c r="DZJ186" s="298"/>
      <c r="DZK186" s="298"/>
      <c r="DZL186" s="298"/>
      <c r="DZM186" s="298"/>
      <c r="DZN186" s="298"/>
      <c r="DZO186" s="298"/>
      <c r="DZP186" s="298"/>
      <c r="DZQ186" s="298"/>
      <c r="DZR186" s="298"/>
      <c r="DZS186" s="298"/>
      <c r="DZT186" s="298"/>
      <c r="DZU186" s="298"/>
      <c r="DZV186" s="298"/>
      <c r="DZW186" s="298"/>
      <c r="DZX186" s="298"/>
      <c r="DZY186" s="298"/>
      <c r="DZZ186" s="298"/>
      <c r="EAA186" s="298"/>
      <c r="EAB186" s="298"/>
      <c r="EAC186" s="298"/>
      <c r="EAD186" s="298"/>
      <c r="EAE186" s="298"/>
      <c r="EAF186" s="298"/>
      <c r="EAG186" s="298"/>
      <c r="EAH186" s="298"/>
      <c r="EAI186" s="298"/>
      <c r="EAJ186" s="298"/>
      <c r="EAK186" s="298"/>
      <c r="EAL186" s="298"/>
      <c r="EAM186" s="298"/>
      <c r="EAN186" s="298"/>
      <c r="EAO186" s="298"/>
      <c r="EAP186" s="298"/>
      <c r="EAQ186" s="298"/>
      <c r="EAR186" s="298"/>
      <c r="EAS186" s="298"/>
      <c r="EAT186" s="298"/>
      <c r="EAU186" s="298"/>
      <c r="EAV186" s="298"/>
      <c r="EAW186" s="298"/>
      <c r="EAX186" s="298"/>
      <c r="EAY186" s="298"/>
      <c r="EAZ186" s="298"/>
      <c r="EBA186" s="298"/>
      <c r="EBB186" s="298"/>
      <c r="EBC186" s="298"/>
      <c r="EBD186" s="298"/>
      <c r="EBE186" s="298"/>
      <c r="EBF186" s="298"/>
      <c r="EBG186" s="298"/>
      <c r="EBH186" s="298"/>
      <c r="EBI186" s="298"/>
      <c r="EBJ186" s="298"/>
      <c r="EBK186" s="298"/>
      <c r="EBL186" s="298"/>
      <c r="EBM186" s="298"/>
      <c r="EBN186" s="298"/>
      <c r="EBO186" s="298"/>
      <c r="EBP186" s="298"/>
      <c r="EBQ186" s="298"/>
      <c r="EBR186" s="298"/>
      <c r="EBS186" s="298"/>
      <c r="EBT186" s="298"/>
      <c r="EBU186" s="298"/>
      <c r="EBV186" s="298"/>
      <c r="EBW186" s="298"/>
      <c r="EBX186" s="298"/>
      <c r="EBY186" s="298"/>
      <c r="EBZ186" s="298"/>
      <c r="ECA186" s="298"/>
      <c r="ECB186" s="298"/>
      <c r="ECC186" s="298"/>
      <c r="ECD186" s="298"/>
      <c r="ECE186" s="298"/>
      <c r="ECF186" s="298"/>
      <c r="ECG186" s="298"/>
      <c r="ECH186" s="298"/>
      <c r="ECI186" s="298"/>
      <c r="ECJ186" s="298"/>
      <c r="ECK186" s="298"/>
      <c r="ECL186" s="298"/>
      <c r="ECM186" s="298"/>
      <c r="ECN186" s="298"/>
      <c r="ECO186" s="298"/>
      <c r="ECP186" s="298"/>
      <c r="ECQ186" s="298"/>
      <c r="ECR186" s="298"/>
      <c r="ECS186" s="298"/>
      <c r="ECT186" s="298"/>
      <c r="ECU186" s="298"/>
      <c r="ECV186" s="298"/>
      <c r="ECW186" s="298"/>
      <c r="ECX186" s="298"/>
      <c r="ECY186" s="298"/>
      <c r="ECZ186" s="298"/>
      <c r="EDA186" s="298"/>
      <c r="EDB186" s="298"/>
      <c r="EDC186" s="298"/>
      <c r="EDD186" s="298"/>
      <c r="EDE186" s="298"/>
      <c r="EDF186" s="298"/>
      <c r="EDG186" s="298"/>
      <c r="EDH186" s="298"/>
      <c r="EDI186" s="298"/>
      <c r="EDJ186" s="298"/>
      <c r="EDK186" s="298"/>
      <c r="EDL186" s="298"/>
      <c r="EDM186" s="298"/>
      <c r="EDN186" s="298"/>
      <c r="EDO186" s="298"/>
      <c r="EDP186" s="298"/>
      <c r="EDQ186" s="298"/>
      <c r="EDR186" s="298"/>
      <c r="EDS186" s="298"/>
      <c r="EDT186" s="298"/>
      <c r="EDU186" s="298"/>
      <c r="EDV186" s="298"/>
      <c r="EDW186" s="298"/>
      <c r="EDX186" s="298"/>
      <c r="EDY186" s="298"/>
      <c r="EDZ186" s="298"/>
      <c r="EEA186" s="298"/>
      <c r="EEB186" s="298"/>
      <c r="EEC186" s="298"/>
      <c r="EED186" s="298"/>
      <c r="EEE186" s="298"/>
      <c r="EEF186" s="298"/>
      <c r="EEG186" s="298"/>
      <c r="EEH186" s="298"/>
      <c r="EEI186" s="298"/>
      <c r="EEJ186" s="298"/>
      <c r="EEK186" s="298"/>
      <c r="EEL186" s="298"/>
      <c r="EEM186" s="298"/>
      <c r="EEN186" s="298"/>
      <c r="EEO186" s="298"/>
      <c r="EEP186" s="298"/>
      <c r="EEQ186" s="298"/>
      <c r="EER186" s="298"/>
      <c r="EES186" s="298"/>
      <c r="EET186" s="298"/>
      <c r="EEU186" s="298"/>
      <c r="EEV186" s="298"/>
      <c r="EEW186" s="298"/>
      <c r="EEX186" s="298"/>
      <c r="EEY186" s="298"/>
      <c r="EEZ186" s="298"/>
      <c r="EFA186" s="298"/>
      <c r="EFB186" s="298"/>
      <c r="EFC186" s="298"/>
      <c r="EFD186" s="298"/>
      <c r="EFE186" s="298"/>
      <c r="EFF186" s="298"/>
      <c r="EFG186" s="298"/>
      <c r="EFH186" s="298"/>
      <c r="EFI186" s="298"/>
      <c r="EFJ186" s="298"/>
      <c r="EFK186" s="298"/>
      <c r="EFL186" s="298"/>
      <c r="EFM186" s="298"/>
      <c r="EFN186" s="298"/>
      <c r="EFO186" s="298"/>
      <c r="EFP186" s="298"/>
      <c r="EFQ186" s="298"/>
      <c r="EFR186" s="298"/>
      <c r="EFS186" s="298"/>
      <c r="EFT186" s="298"/>
      <c r="EFU186" s="298"/>
      <c r="EFV186" s="298"/>
      <c r="EFW186" s="298"/>
      <c r="EFX186" s="298"/>
      <c r="EFY186" s="298"/>
      <c r="EFZ186" s="298"/>
      <c r="EGA186" s="298"/>
      <c r="EGB186" s="298"/>
      <c r="EGC186" s="298"/>
      <c r="EGD186" s="298"/>
      <c r="EGE186" s="298"/>
      <c r="EGF186" s="298"/>
      <c r="EGG186" s="298"/>
      <c r="EGH186" s="298"/>
      <c r="EGI186" s="298"/>
      <c r="EGJ186" s="298"/>
      <c r="EGK186" s="298"/>
      <c r="EGL186" s="298"/>
      <c r="EGM186" s="298"/>
      <c r="EGN186" s="298"/>
      <c r="EGO186" s="298"/>
      <c r="EGP186" s="298"/>
      <c r="EGQ186" s="298"/>
      <c r="EGR186" s="298"/>
      <c r="EGS186" s="298"/>
      <c r="EGT186" s="298"/>
      <c r="EGU186" s="298"/>
      <c r="EGV186" s="298"/>
      <c r="EGW186" s="298"/>
      <c r="EGX186" s="298"/>
      <c r="EGY186" s="298"/>
      <c r="EGZ186" s="298"/>
      <c r="EHA186" s="298"/>
      <c r="EHB186" s="298"/>
      <c r="EHC186" s="298"/>
      <c r="EHD186" s="298"/>
      <c r="EHE186" s="298"/>
      <c r="EHF186" s="298"/>
      <c r="EHG186" s="298"/>
      <c r="EHH186" s="298"/>
      <c r="EHI186" s="298"/>
      <c r="EHJ186" s="298"/>
      <c r="EHK186" s="298"/>
      <c r="EHL186" s="298"/>
      <c r="EHM186" s="298"/>
      <c r="EHN186" s="298"/>
      <c r="EHO186" s="298"/>
      <c r="EHP186" s="298"/>
      <c r="EHQ186" s="298"/>
      <c r="EHR186" s="298"/>
      <c r="EHS186" s="298"/>
      <c r="EHT186" s="298"/>
      <c r="EHU186" s="298"/>
      <c r="EHV186" s="298"/>
      <c r="EHW186" s="298"/>
      <c r="EHX186" s="298"/>
      <c r="EHY186" s="298"/>
      <c r="EHZ186" s="298"/>
      <c r="EIA186" s="298"/>
      <c r="EIB186" s="298"/>
      <c r="EIC186" s="298"/>
      <c r="EID186" s="298"/>
      <c r="EIE186" s="298"/>
      <c r="EIF186" s="298"/>
      <c r="EIG186" s="298"/>
      <c r="EIH186" s="298"/>
      <c r="EII186" s="298"/>
      <c r="EIJ186" s="298"/>
      <c r="EIK186" s="298"/>
      <c r="EIL186" s="298"/>
      <c r="EIM186" s="298"/>
      <c r="EIN186" s="298"/>
      <c r="EIO186" s="298"/>
      <c r="EIP186" s="298"/>
      <c r="EIQ186" s="298"/>
      <c r="EIR186" s="298"/>
      <c r="EIS186" s="298"/>
      <c r="EIT186" s="298"/>
      <c r="EIU186" s="298"/>
      <c r="EIV186" s="298"/>
      <c r="EIW186" s="298"/>
      <c r="EIX186" s="298"/>
      <c r="EIY186" s="298"/>
      <c r="EIZ186" s="298"/>
      <c r="EJA186" s="298"/>
      <c r="EJB186" s="298"/>
      <c r="EJC186" s="298"/>
      <c r="EJD186" s="298"/>
      <c r="EJE186" s="298"/>
      <c r="EJF186" s="298"/>
      <c r="EJG186" s="298"/>
      <c r="EJH186" s="298"/>
      <c r="EJI186" s="298"/>
      <c r="EJJ186" s="298"/>
      <c r="EJK186" s="298"/>
      <c r="EJL186" s="298"/>
      <c r="EJM186" s="298"/>
      <c r="EJN186" s="298"/>
      <c r="EJO186" s="298"/>
      <c r="EJP186" s="298"/>
      <c r="EJQ186" s="298"/>
      <c r="EJR186" s="298"/>
      <c r="EJS186" s="298"/>
      <c r="EJT186" s="298"/>
      <c r="EJU186" s="298"/>
      <c r="EJV186" s="298"/>
      <c r="EJW186" s="298"/>
      <c r="EJX186" s="298"/>
      <c r="EJY186" s="298"/>
      <c r="EJZ186" s="298"/>
      <c r="EKA186" s="298"/>
      <c r="EKB186" s="298"/>
      <c r="EKC186" s="298"/>
      <c r="EKD186" s="298"/>
      <c r="EKE186" s="298"/>
      <c r="EKF186" s="298"/>
      <c r="EKG186" s="298"/>
      <c r="EKH186" s="298"/>
      <c r="EKI186" s="298"/>
      <c r="EKJ186" s="298"/>
      <c r="EKK186" s="298"/>
      <c r="EKL186" s="298"/>
      <c r="EKM186" s="298"/>
      <c r="EKN186" s="298"/>
      <c r="EKO186" s="298"/>
      <c r="EKP186" s="298"/>
      <c r="EKQ186" s="298"/>
      <c r="EKR186" s="298"/>
      <c r="EKS186" s="298"/>
      <c r="EKT186" s="298"/>
      <c r="EKU186" s="298"/>
      <c r="EKV186" s="298"/>
      <c r="EKW186" s="298"/>
      <c r="EKX186" s="298"/>
      <c r="EKY186" s="298"/>
      <c r="EKZ186" s="298"/>
      <c r="ELA186" s="298"/>
      <c r="ELB186" s="298"/>
      <c r="ELC186" s="298"/>
      <c r="ELD186" s="298"/>
      <c r="ELE186" s="298"/>
      <c r="ELF186" s="298"/>
      <c r="ELG186" s="298"/>
      <c r="ELH186" s="298"/>
      <c r="ELI186" s="298"/>
      <c r="ELJ186" s="298"/>
      <c r="ELK186" s="298"/>
      <c r="ELL186" s="298"/>
      <c r="ELM186" s="298"/>
      <c r="ELN186" s="298"/>
      <c r="ELO186" s="298"/>
      <c r="ELP186" s="298"/>
      <c r="ELQ186" s="298"/>
      <c r="ELR186" s="298"/>
      <c r="ELS186" s="298"/>
      <c r="ELT186" s="298"/>
      <c r="ELU186" s="298"/>
      <c r="ELV186" s="298"/>
      <c r="ELW186" s="298"/>
      <c r="ELX186" s="298"/>
      <c r="ELY186" s="298"/>
      <c r="ELZ186" s="298"/>
      <c r="EMA186" s="298"/>
      <c r="EMB186" s="298"/>
      <c r="EMC186" s="298"/>
      <c r="EMD186" s="298"/>
      <c r="EME186" s="298"/>
      <c r="EMF186" s="298"/>
      <c r="EMG186" s="298"/>
      <c r="EMH186" s="298"/>
      <c r="EMI186" s="298"/>
      <c r="EMJ186" s="298"/>
      <c r="EMK186" s="298"/>
      <c r="EML186" s="298"/>
      <c r="EMM186" s="298"/>
      <c r="EMN186" s="298"/>
      <c r="EMO186" s="298"/>
      <c r="EMP186" s="298"/>
      <c r="EMQ186" s="298"/>
      <c r="EMR186" s="298"/>
      <c r="EMS186" s="298"/>
      <c r="EMT186" s="298"/>
      <c r="EMU186" s="298"/>
      <c r="EMV186" s="298"/>
      <c r="EMW186" s="298"/>
      <c r="EMX186" s="298"/>
      <c r="EMY186" s="298"/>
      <c r="EMZ186" s="298"/>
      <c r="ENA186" s="298"/>
      <c r="ENB186" s="298"/>
      <c r="ENC186" s="298"/>
      <c r="END186" s="298"/>
      <c r="ENE186" s="298"/>
      <c r="ENF186" s="298"/>
      <c r="ENG186" s="298"/>
      <c r="ENH186" s="298"/>
      <c r="ENI186" s="298"/>
      <c r="ENJ186" s="298"/>
      <c r="ENK186" s="298"/>
      <c r="ENL186" s="298"/>
      <c r="ENM186" s="298"/>
      <c r="ENN186" s="298"/>
      <c r="ENO186" s="298"/>
      <c r="ENP186" s="298"/>
      <c r="ENQ186" s="298"/>
      <c r="ENR186" s="298"/>
      <c r="ENS186" s="298"/>
      <c r="ENT186" s="298"/>
      <c r="ENU186" s="298"/>
      <c r="ENV186" s="298"/>
      <c r="ENW186" s="298"/>
      <c r="ENX186" s="298"/>
      <c r="ENY186" s="298"/>
      <c r="ENZ186" s="298"/>
      <c r="EOA186" s="298"/>
      <c r="EOB186" s="298"/>
      <c r="EOC186" s="298"/>
      <c r="EOD186" s="298"/>
      <c r="EOE186" s="298"/>
      <c r="EOF186" s="298"/>
      <c r="EOG186" s="298"/>
      <c r="EOH186" s="298"/>
      <c r="EOI186" s="298"/>
      <c r="EOJ186" s="298"/>
      <c r="EOK186" s="298"/>
      <c r="EOL186" s="298"/>
      <c r="EOM186" s="298"/>
      <c r="EON186" s="298"/>
      <c r="EOO186" s="298"/>
      <c r="EOP186" s="298"/>
      <c r="EOQ186" s="298"/>
      <c r="EOR186" s="298"/>
      <c r="EOS186" s="298"/>
      <c r="EOT186" s="298"/>
      <c r="EOU186" s="298"/>
      <c r="EOV186" s="298"/>
      <c r="EOW186" s="298"/>
      <c r="EOX186" s="298"/>
      <c r="EOY186" s="298"/>
      <c r="EOZ186" s="298"/>
      <c r="EPA186" s="298"/>
      <c r="EPB186" s="298"/>
      <c r="EPC186" s="298"/>
      <c r="EPD186" s="298"/>
      <c r="EPE186" s="298"/>
      <c r="EPF186" s="298"/>
      <c r="EPG186" s="298"/>
      <c r="EPH186" s="298"/>
      <c r="EPI186" s="298"/>
      <c r="EPJ186" s="298"/>
      <c r="EPK186" s="298"/>
      <c r="EPL186" s="298"/>
      <c r="EPM186" s="298"/>
      <c r="EPN186" s="298"/>
      <c r="EPO186" s="298"/>
      <c r="EPP186" s="298"/>
      <c r="EPQ186" s="298"/>
      <c r="EPR186" s="298"/>
      <c r="EPS186" s="298"/>
      <c r="EPT186" s="298"/>
      <c r="EPU186" s="298"/>
      <c r="EPV186" s="298"/>
      <c r="EPW186" s="298"/>
      <c r="EPX186" s="298"/>
      <c r="EPY186" s="298"/>
      <c r="EPZ186" s="298"/>
      <c r="EQA186" s="298"/>
      <c r="EQB186" s="298"/>
      <c r="EQC186" s="298"/>
      <c r="EQD186" s="298"/>
      <c r="EQE186" s="298"/>
      <c r="EQF186" s="298"/>
      <c r="EQG186" s="298"/>
      <c r="EQH186" s="298"/>
      <c r="EQI186" s="298"/>
      <c r="EQJ186" s="298"/>
      <c r="EQK186" s="298"/>
      <c r="EQL186" s="298"/>
      <c r="EQM186" s="298"/>
      <c r="EQN186" s="298"/>
      <c r="EQO186" s="298"/>
      <c r="EQP186" s="298"/>
      <c r="EQQ186" s="298"/>
      <c r="EQR186" s="298"/>
      <c r="EQS186" s="298"/>
      <c r="EQT186" s="298"/>
      <c r="EQU186" s="298"/>
      <c r="EQV186" s="298"/>
      <c r="EQW186" s="298"/>
      <c r="EQX186" s="298"/>
      <c r="EQY186" s="298"/>
      <c r="EQZ186" s="298"/>
      <c r="ERA186" s="298"/>
      <c r="ERB186" s="298"/>
      <c r="ERC186" s="298"/>
      <c r="ERD186" s="298"/>
      <c r="ERE186" s="298"/>
      <c r="ERF186" s="298"/>
      <c r="ERG186" s="298"/>
      <c r="ERH186" s="298"/>
      <c r="ERI186" s="298"/>
      <c r="ERJ186" s="298"/>
      <c r="ERK186" s="298"/>
      <c r="ERL186" s="298"/>
      <c r="ERM186" s="298"/>
      <c r="ERN186" s="298"/>
      <c r="ERO186" s="298"/>
      <c r="ERP186" s="298"/>
      <c r="ERQ186" s="298"/>
      <c r="ERR186" s="298"/>
      <c r="ERS186" s="298"/>
      <c r="ERT186" s="298"/>
      <c r="ERU186" s="298"/>
      <c r="ERV186" s="298"/>
      <c r="ERW186" s="298"/>
      <c r="ERX186" s="298"/>
      <c r="ERY186" s="298"/>
      <c r="ERZ186" s="298"/>
      <c r="ESA186" s="298"/>
      <c r="ESB186" s="298"/>
      <c r="ESC186" s="298"/>
      <c r="ESD186" s="298"/>
      <c r="ESE186" s="298"/>
      <c r="ESF186" s="298"/>
      <c r="ESG186" s="298"/>
      <c r="ESH186" s="298"/>
      <c r="ESI186" s="298"/>
      <c r="ESJ186" s="298"/>
      <c r="ESK186" s="298"/>
      <c r="ESL186" s="298"/>
      <c r="ESM186" s="298"/>
      <c r="ESN186" s="298"/>
      <c r="ESO186" s="298"/>
      <c r="ESP186" s="298"/>
      <c r="ESQ186" s="298"/>
      <c r="ESR186" s="298"/>
      <c r="ESS186" s="298"/>
      <c r="EST186" s="298"/>
      <c r="ESU186" s="298"/>
      <c r="ESV186" s="298"/>
      <c r="ESW186" s="298"/>
      <c r="ESX186" s="298"/>
      <c r="ESY186" s="298"/>
      <c r="ESZ186" s="298"/>
      <c r="ETA186" s="298"/>
      <c r="ETB186" s="298"/>
      <c r="ETC186" s="298"/>
      <c r="ETD186" s="298"/>
      <c r="ETE186" s="298"/>
      <c r="ETF186" s="298"/>
      <c r="ETG186" s="298"/>
      <c r="ETH186" s="298"/>
      <c r="ETI186" s="298"/>
      <c r="ETJ186" s="298"/>
      <c r="ETK186" s="298"/>
      <c r="ETL186" s="298"/>
      <c r="ETM186" s="298"/>
      <c r="ETN186" s="298"/>
      <c r="ETO186" s="298"/>
      <c r="ETP186" s="298"/>
      <c r="ETQ186" s="298"/>
      <c r="ETR186" s="298"/>
      <c r="ETS186" s="298"/>
      <c r="ETT186" s="298"/>
      <c r="ETU186" s="298"/>
      <c r="ETV186" s="298"/>
      <c r="ETW186" s="298"/>
      <c r="ETX186" s="298"/>
      <c r="ETY186" s="298"/>
      <c r="ETZ186" s="298"/>
      <c r="EUA186" s="298"/>
      <c r="EUB186" s="298"/>
      <c r="EUC186" s="298"/>
      <c r="EUD186" s="298"/>
      <c r="EUE186" s="298"/>
      <c r="EUF186" s="298"/>
      <c r="EUG186" s="298"/>
      <c r="EUH186" s="298"/>
      <c r="EUI186" s="298"/>
      <c r="EUJ186" s="298"/>
      <c r="EUK186" s="298"/>
      <c r="EUL186" s="298"/>
      <c r="EUM186" s="298"/>
      <c r="EUN186" s="298"/>
      <c r="EUO186" s="298"/>
      <c r="EUP186" s="298"/>
      <c r="EUQ186" s="298"/>
      <c r="EUR186" s="298"/>
      <c r="EUS186" s="298"/>
      <c r="EUT186" s="298"/>
      <c r="EUU186" s="298"/>
      <c r="EUV186" s="298"/>
      <c r="EUW186" s="298"/>
      <c r="EUX186" s="298"/>
      <c r="EUY186" s="298"/>
      <c r="EUZ186" s="298"/>
      <c r="EVA186" s="298"/>
      <c r="EVB186" s="298"/>
      <c r="EVC186" s="298"/>
      <c r="EVD186" s="298"/>
      <c r="EVE186" s="298"/>
      <c r="EVF186" s="298"/>
      <c r="EVG186" s="298"/>
      <c r="EVH186" s="298"/>
      <c r="EVI186" s="298"/>
      <c r="EVJ186" s="298"/>
      <c r="EVK186" s="298"/>
      <c r="EVL186" s="298"/>
      <c r="EVM186" s="298"/>
      <c r="EVN186" s="298"/>
      <c r="EVO186" s="298"/>
      <c r="EVP186" s="298"/>
      <c r="EVQ186" s="298"/>
      <c r="EVR186" s="298"/>
      <c r="EVS186" s="298"/>
      <c r="EVT186" s="298"/>
      <c r="EVU186" s="298"/>
      <c r="EVV186" s="298"/>
      <c r="EVW186" s="298"/>
      <c r="EVX186" s="298"/>
      <c r="EVY186" s="298"/>
      <c r="EVZ186" s="298"/>
      <c r="EWA186" s="298"/>
      <c r="EWB186" s="298"/>
      <c r="EWC186" s="298"/>
      <c r="EWD186" s="298"/>
      <c r="EWE186" s="298"/>
      <c r="EWF186" s="298"/>
      <c r="EWG186" s="298"/>
      <c r="EWH186" s="298"/>
      <c r="EWI186" s="298"/>
      <c r="EWJ186" s="298"/>
      <c r="EWK186" s="298"/>
      <c r="EWL186" s="298"/>
      <c r="EWM186" s="298"/>
      <c r="EWN186" s="298"/>
      <c r="EWO186" s="298"/>
      <c r="EWP186" s="298"/>
      <c r="EWQ186" s="298"/>
      <c r="EWR186" s="298"/>
      <c r="EWS186" s="298"/>
      <c r="EWT186" s="298"/>
      <c r="EWU186" s="298"/>
      <c r="EWV186" s="298"/>
      <c r="EWW186" s="298"/>
      <c r="EWX186" s="298"/>
      <c r="EWY186" s="298"/>
      <c r="EWZ186" s="298"/>
      <c r="EXA186" s="298"/>
      <c r="EXB186" s="298"/>
      <c r="EXC186" s="298"/>
      <c r="EXD186" s="298"/>
      <c r="EXE186" s="298"/>
      <c r="EXF186" s="298"/>
      <c r="EXG186" s="298"/>
      <c r="EXH186" s="298"/>
      <c r="EXI186" s="298"/>
      <c r="EXJ186" s="298"/>
      <c r="EXK186" s="298"/>
      <c r="EXL186" s="298"/>
      <c r="EXM186" s="298"/>
      <c r="EXN186" s="298"/>
      <c r="EXO186" s="298"/>
      <c r="EXP186" s="298"/>
      <c r="EXQ186" s="298"/>
      <c r="EXR186" s="298"/>
      <c r="EXS186" s="298"/>
      <c r="EXT186" s="298"/>
      <c r="EXU186" s="298"/>
      <c r="EXV186" s="298"/>
      <c r="EXW186" s="298"/>
      <c r="EXX186" s="298"/>
      <c r="EXY186" s="298"/>
      <c r="EXZ186" s="298"/>
      <c r="EYA186" s="298"/>
      <c r="EYB186" s="298"/>
      <c r="EYC186" s="298"/>
      <c r="EYD186" s="298"/>
      <c r="EYE186" s="298"/>
      <c r="EYF186" s="298"/>
      <c r="EYG186" s="298"/>
      <c r="EYH186" s="298"/>
      <c r="EYI186" s="298"/>
      <c r="EYJ186" s="298"/>
      <c r="EYK186" s="298"/>
      <c r="EYL186" s="298"/>
      <c r="EYM186" s="298"/>
      <c r="EYN186" s="298"/>
      <c r="EYO186" s="298"/>
      <c r="EYP186" s="298"/>
      <c r="EYQ186" s="298"/>
      <c r="EYR186" s="298"/>
      <c r="EYS186" s="298"/>
      <c r="EYT186" s="298"/>
      <c r="EYU186" s="298"/>
      <c r="EYV186" s="298"/>
      <c r="EYW186" s="298"/>
      <c r="EYX186" s="298"/>
      <c r="EYY186" s="298"/>
      <c r="EYZ186" s="298"/>
      <c r="EZA186" s="298"/>
      <c r="EZB186" s="298"/>
      <c r="EZC186" s="298"/>
      <c r="EZD186" s="298"/>
      <c r="EZE186" s="298"/>
      <c r="EZF186" s="298"/>
      <c r="EZG186" s="298"/>
      <c r="EZH186" s="298"/>
      <c r="EZI186" s="298"/>
      <c r="EZJ186" s="298"/>
      <c r="EZK186" s="298"/>
      <c r="EZL186" s="298"/>
      <c r="EZM186" s="298"/>
      <c r="EZN186" s="298"/>
      <c r="EZO186" s="298"/>
      <c r="EZP186" s="298"/>
      <c r="EZQ186" s="298"/>
      <c r="EZR186" s="298"/>
      <c r="EZS186" s="298"/>
      <c r="EZT186" s="298"/>
      <c r="EZU186" s="298"/>
      <c r="EZV186" s="298"/>
      <c r="EZW186" s="298"/>
      <c r="EZX186" s="298"/>
      <c r="EZY186" s="298"/>
      <c r="EZZ186" s="298"/>
      <c r="FAA186" s="298"/>
      <c r="FAB186" s="298"/>
      <c r="FAC186" s="298"/>
      <c r="FAD186" s="298"/>
      <c r="FAE186" s="298"/>
      <c r="FAF186" s="298"/>
      <c r="FAG186" s="298"/>
      <c r="FAH186" s="298"/>
      <c r="FAI186" s="298"/>
      <c r="FAJ186" s="298"/>
      <c r="FAK186" s="298"/>
      <c r="FAL186" s="298"/>
      <c r="FAM186" s="298"/>
      <c r="FAN186" s="298"/>
      <c r="FAO186" s="298"/>
      <c r="FAP186" s="298"/>
      <c r="FAQ186" s="298"/>
      <c r="FAR186" s="298"/>
      <c r="FAS186" s="298"/>
      <c r="FAT186" s="298"/>
      <c r="FAU186" s="298"/>
      <c r="FAV186" s="298"/>
      <c r="FAW186" s="298"/>
      <c r="FAX186" s="298"/>
      <c r="FAY186" s="298"/>
      <c r="FAZ186" s="298"/>
      <c r="FBA186" s="298"/>
      <c r="FBB186" s="298"/>
      <c r="FBC186" s="298"/>
      <c r="FBD186" s="298"/>
      <c r="FBE186" s="298"/>
      <c r="FBF186" s="298"/>
      <c r="FBG186" s="298"/>
      <c r="FBH186" s="298"/>
      <c r="FBI186" s="298"/>
      <c r="FBJ186" s="298"/>
      <c r="FBK186" s="298"/>
      <c r="FBL186" s="298"/>
      <c r="FBM186" s="298"/>
      <c r="FBN186" s="298"/>
      <c r="FBO186" s="298"/>
      <c r="FBP186" s="298"/>
      <c r="FBQ186" s="298"/>
      <c r="FBR186" s="298"/>
      <c r="FBS186" s="298"/>
      <c r="FBT186" s="298"/>
      <c r="FBU186" s="298"/>
      <c r="FBV186" s="298"/>
      <c r="FBW186" s="298"/>
      <c r="FBX186" s="298"/>
      <c r="FBY186" s="298"/>
      <c r="FBZ186" s="298"/>
      <c r="FCA186" s="298"/>
      <c r="FCB186" s="298"/>
      <c r="FCC186" s="298"/>
      <c r="FCD186" s="298"/>
      <c r="FCE186" s="298"/>
      <c r="FCF186" s="298"/>
      <c r="FCG186" s="298"/>
      <c r="FCH186" s="298"/>
      <c r="FCI186" s="298"/>
      <c r="FCJ186" s="298"/>
      <c r="FCK186" s="298"/>
      <c r="FCL186" s="298"/>
      <c r="FCM186" s="298"/>
      <c r="FCN186" s="298"/>
      <c r="FCO186" s="298"/>
      <c r="FCP186" s="298"/>
      <c r="FCQ186" s="298"/>
      <c r="FCR186" s="298"/>
      <c r="FCS186" s="298"/>
      <c r="FCT186" s="298"/>
      <c r="FCU186" s="298"/>
      <c r="FCV186" s="298"/>
      <c r="FCW186" s="298"/>
      <c r="FCX186" s="298"/>
      <c r="FCY186" s="298"/>
      <c r="FCZ186" s="298"/>
      <c r="FDA186" s="298"/>
      <c r="FDB186" s="298"/>
      <c r="FDC186" s="298"/>
      <c r="FDD186" s="298"/>
      <c r="FDE186" s="298"/>
      <c r="FDF186" s="298"/>
      <c r="FDG186" s="298"/>
      <c r="FDH186" s="298"/>
      <c r="FDI186" s="298"/>
      <c r="FDJ186" s="298"/>
      <c r="FDK186" s="298"/>
      <c r="FDL186" s="298"/>
      <c r="FDM186" s="298"/>
      <c r="FDN186" s="298"/>
      <c r="FDO186" s="298"/>
      <c r="FDP186" s="298"/>
      <c r="FDQ186" s="298"/>
      <c r="FDR186" s="298"/>
      <c r="FDS186" s="298"/>
      <c r="FDT186" s="298"/>
      <c r="FDU186" s="298"/>
      <c r="FDV186" s="298"/>
      <c r="FDW186" s="298"/>
      <c r="FDX186" s="298"/>
      <c r="FDY186" s="298"/>
      <c r="FDZ186" s="298"/>
      <c r="FEA186" s="298"/>
      <c r="FEB186" s="298"/>
      <c r="FEC186" s="298"/>
      <c r="FED186" s="298"/>
      <c r="FEE186" s="298"/>
      <c r="FEF186" s="298"/>
      <c r="FEG186" s="298"/>
      <c r="FEH186" s="298"/>
      <c r="FEI186" s="298"/>
      <c r="FEJ186" s="298"/>
      <c r="FEK186" s="298"/>
      <c r="FEL186" s="298"/>
      <c r="FEM186" s="298"/>
      <c r="FEN186" s="298"/>
      <c r="FEO186" s="298"/>
      <c r="FEP186" s="298"/>
      <c r="FEQ186" s="298"/>
      <c r="FER186" s="298"/>
      <c r="FES186" s="298"/>
      <c r="FET186" s="298"/>
      <c r="FEU186" s="298"/>
      <c r="FEV186" s="298"/>
      <c r="FEW186" s="298"/>
      <c r="FEX186" s="298"/>
      <c r="FEY186" s="298"/>
      <c r="FEZ186" s="298"/>
      <c r="FFA186" s="298"/>
      <c r="FFB186" s="298"/>
      <c r="FFC186" s="298"/>
      <c r="FFD186" s="298"/>
      <c r="FFE186" s="298"/>
      <c r="FFF186" s="298"/>
      <c r="FFG186" s="298"/>
      <c r="FFH186" s="298"/>
      <c r="FFI186" s="298"/>
      <c r="FFJ186" s="298"/>
      <c r="FFK186" s="298"/>
      <c r="FFL186" s="298"/>
      <c r="FFM186" s="298"/>
      <c r="FFN186" s="298"/>
      <c r="FFO186" s="298"/>
      <c r="FFP186" s="298"/>
      <c r="FFQ186" s="298"/>
      <c r="FFR186" s="298"/>
      <c r="FFS186" s="298"/>
      <c r="FFT186" s="298"/>
      <c r="FFU186" s="298"/>
      <c r="FFV186" s="298"/>
      <c r="FFW186" s="298"/>
      <c r="FFX186" s="298"/>
      <c r="FFY186" s="298"/>
      <c r="FFZ186" s="298"/>
      <c r="FGA186" s="298"/>
      <c r="FGB186" s="298"/>
      <c r="FGC186" s="298"/>
      <c r="FGD186" s="298"/>
      <c r="FGE186" s="298"/>
      <c r="FGF186" s="298"/>
      <c r="FGG186" s="298"/>
      <c r="FGH186" s="298"/>
      <c r="FGI186" s="298"/>
      <c r="FGJ186" s="298"/>
      <c r="FGK186" s="298"/>
      <c r="FGL186" s="298"/>
      <c r="FGM186" s="298"/>
      <c r="FGN186" s="298"/>
      <c r="FGO186" s="298"/>
      <c r="FGP186" s="298"/>
      <c r="FGQ186" s="298"/>
      <c r="FGR186" s="298"/>
      <c r="FGS186" s="298"/>
      <c r="FGT186" s="298"/>
      <c r="FGU186" s="298"/>
      <c r="FGV186" s="298"/>
      <c r="FGW186" s="298"/>
      <c r="FGX186" s="298"/>
      <c r="FGY186" s="298"/>
      <c r="FGZ186" s="298"/>
      <c r="FHA186" s="298"/>
      <c r="FHB186" s="298"/>
      <c r="FHC186" s="298"/>
      <c r="FHD186" s="298"/>
      <c r="FHE186" s="298"/>
      <c r="FHF186" s="298"/>
      <c r="FHG186" s="298"/>
      <c r="FHH186" s="298"/>
      <c r="FHI186" s="298"/>
      <c r="FHJ186" s="298"/>
      <c r="FHK186" s="298"/>
      <c r="FHL186" s="298"/>
      <c r="FHM186" s="298"/>
      <c r="FHN186" s="298"/>
      <c r="FHO186" s="298"/>
      <c r="FHP186" s="298"/>
      <c r="FHQ186" s="298"/>
      <c r="FHR186" s="298"/>
      <c r="FHS186" s="298"/>
      <c r="FHT186" s="298"/>
      <c r="FHU186" s="298"/>
      <c r="FHV186" s="298"/>
      <c r="FHW186" s="298"/>
      <c r="FHX186" s="298"/>
      <c r="FHY186" s="298"/>
      <c r="FHZ186" s="298"/>
      <c r="FIA186" s="298"/>
      <c r="FIB186" s="298"/>
      <c r="FIC186" s="298"/>
      <c r="FID186" s="298"/>
      <c r="FIE186" s="298"/>
      <c r="FIF186" s="298"/>
      <c r="FIG186" s="298"/>
      <c r="FIH186" s="298"/>
      <c r="FII186" s="298"/>
      <c r="FIJ186" s="298"/>
      <c r="FIK186" s="298"/>
      <c r="FIL186" s="298"/>
      <c r="FIM186" s="298"/>
      <c r="FIN186" s="298"/>
      <c r="FIO186" s="298"/>
      <c r="FIP186" s="298"/>
      <c r="FIQ186" s="298"/>
      <c r="FIR186" s="298"/>
      <c r="FIS186" s="298"/>
      <c r="FIT186" s="298"/>
      <c r="FIU186" s="298"/>
      <c r="FIV186" s="298"/>
      <c r="FIW186" s="298"/>
      <c r="FIX186" s="298"/>
      <c r="FIY186" s="298"/>
      <c r="FIZ186" s="298"/>
      <c r="FJA186" s="298"/>
      <c r="FJB186" s="298"/>
      <c r="FJC186" s="298"/>
      <c r="FJD186" s="298"/>
      <c r="FJE186" s="298"/>
      <c r="FJF186" s="298"/>
      <c r="FJG186" s="298"/>
      <c r="FJH186" s="298"/>
      <c r="FJI186" s="298"/>
      <c r="FJJ186" s="298"/>
      <c r="FJK186" s="298"/>
      <c r="FJL186" s="298"/>
      <c r="FJM186" s="298"/>
      <c r="FJN186" s="298"/>
      <c r="FJO186" s="298"/>
      <c r="FJP186" s="298"/>
      <c r="FJQ186" s="298"/>
      <c r="FJR186" s="298"/>
      <c r="FJS186" s="298"/>
      <c r="FJT186" s="298"/>
      <c r="FJU186" s="298"/>
      <c r="FJV186" s="298"/>
      <c r="FJW186" s="298"/>
      <c r="FJX186" s="298"/>
      <c r="FJY186" s="298"/>
      <c r="FJZ186" s="298"/>
      <c r="FKA186" s="298"/>
      <c r="FKB186" s="298"/>
      <c r="FKC186" s="298"/>
      <c r="FKD186" s="298"/>
      <c r="FKE186" s="298"/>
      <c r="FKF186" s="298"/>
      <c r="FKG186" s="298"/>
      <c r="FKH186" s="298"/>
      <c r="FKI186" s="298"/>
      <c r="FKJ186" s="298"/>
      <c r="FKK186" s="298"/>
      <c r="FKL186" s="298"/>
      <c r="FKM186" s="298"/>
      <c r="FKN186" s="298"/>
      <c r="FKO186" s="298"/>
      <c r="FKP186" s="298"/>
      <c r="FKQ186" s="298"/>
      <c r="FKR186" s="298"/>
      <c r="FKS186" s="298"/>
      <c r="FKT186" s="298"/>
      <c r="FKU186" s="298"/>
      <c r="FKV186" s="298"/>
      <c r="FKW186" s="298"/>
      <c r="FKX186" s="298"/>
      <c r="FKY186" s="298"/>
      <c r="FKZ186" s="298"/>
      <c r="FLA186" s="298"/>
      <c r="FLB186" s="298"/>
      <c r="FLC186" s="298"/>
      <c r="FLD186" s="298"/>
      <c r="FLE186" s="298"/>
      <c r="FLF186" s="298"/>
      <c r="FLG186" s="298"/>
      <c r="FLH186" s="298"/>
      <c r="FLI186" s="298"/>
      <c r="FLJ186" s="298"/>
      <c r="FLK186" s="298"/>
      <c r="FLL186" s="298"/>
      <c r="FLM186" s="298"/>
      <c r="FLN186" s="298"/>
      <c r="FLO186" s="298"/>
      <c r="FLP186" s="298"/>
      <c r="FLQ186" s="298"/>
      <c r="FLR186" s="298"/>
      <c r="FLS186" s="298"/>
      <c r="FLT186" s="298"/>
      <c r="FLU186" s="298"/>
      <c r="FLV186" s="298"/>
      <c r="FLW186" s="298"/>
      <c r="FLX186" s="298"/>
      <c r="FLY186" s="298"/>
      <c r="FLZ186" s="298"/>
      <c r="FMA186" s="298"/>
      <c r="FMB186" s="298"/>
      <c r="FMC186" s="298"/>
      <c r="FMD186" s="298"/>
      <c r="FME186" s="298"/>
      <c r="FMF186" s="298"/>
      <c r="FMG186" s="298"/>
      <c r="FMH186" s="298"/>
      <c r="FMI186" s="298"/>
      <c r="FMJ186" s="298"/>
      <c r="FMK186" s="298"/>
      <c r="FML186" s="298"/>
      <c r="FMM186" s="298"/>
      <c r="FMN186" s="298"/>
      <c r="FMO186" s="298"/>
      <c r="FMP186" s="298"/>
      <c r="FMQ186" s="298"/>
      <c r="FMR186" s="298"/>
      <c r="FMS186" s="298"/>
      <c r="FMT186" s="298"/>
      <c r="FMU186" s="298"/>
      <c r="FMV186" s="298"/>
      <c r="FMW186" s="298"/>
      <c r="FMX186" s="298"/>
      <c r="FMY186" s="298"/>
      <c r="FMZ186" s="298"/>
      <c r="FNA186" s="298"/>
      <c r="FNB186" s="298"/>
      <c r="FNC186" s="298"/>
      <c r="FND186" s="298"/>
      <c r="FNE186" s="298"/>
      <c r="FNF186" s="298"/>
      <c r="FNG186" s="298"/>
      <c r="FNH186" s="298"/>
      <c r="FNI186" s="298"/>
      <c r="FNJ186" s="298"/>
      <c r="FNK186" s="298"/>
      <c r="FNL186" s="298"/>
      <c r="FNM186" s="298"/>
      <c r="FNN186" s="298"/>
      <c r="FNO186" s="298"/>
      <c r="FNP186" s="298"/>
      <c r="FNQ186" s="298"/>
      <c r="FNR186" s="298"/>
      <c r="FNS186" s="298"/>
      <c r="FNT186" s="298"/>
      <c r="FNU186" s="298"/>
      <c r="FNV186" s="298"/>
      <c r="FNW186" s="298"/>
      <c r="FNX186" s="298"/>
      <c r="FNY186" s="298"/>
      <c r="FNZ186" s="298"/>
      <c r="FOA186" s="298"/>
      <c r="FOB186" s="298"/>
      <c r="FOC186" s="298"/>
      <c r="FOD186" s="298"/>
      <c r="FOE186" s="298"/>
      <c r="FOF186" s="298"/>
      <c r="FOG186" s="298"/>
      <c r="FOH186" s="298"/>
      <c r="FOI186" s="298"/>
      <c r="FOJ186" s="298"/>
      <c r="FOK186" s="298"/>
      <c r="FOL186" s="298"/>
      <c r="FOM186" s="298"/>
      <c r="FON186" s="298"/>
      <c r="FOO186" s="298"/>
      <c r="FOP186" s="298"/>
      <c r="FOQ186" s="298"/>
      <c r="FOR186" s="298"/>
      <c r="FOS186" s="298"/>
      <c r="FOT186" s="298"/>
      <c r="FOU186" s="298"/>
      <c r="FOV186" s="298"/>
      <c r="FOW186" s="298"/>
      <c r="FOX186" s="298"/>
      <c r="FOY186" s="298"/>
      <c r="FOZ186" s="298"/>
      <c r="FPA186" s="298"/>
      <c r="FPB186" s="298"/>
      <c r="FPC186" s="298"/>
      <c r="FPD186" s="298"/>
      <c r="FPE186" s="298"/>
      <c r="FPF186" s="298"/>
      <c r="FPG186" s="298"/>
      <c r="FPH186" s="298"/>
      <c r="FPI186" s="298"/>
      <c r="FPJ186" s="298"/>
      <c r="FPK186" s="298"/>
      <c r="FPL186" s="298"/>
      <c r="FPM186" s="298"/>
      <c r="FPN186" s="298"/>
      <c r="FPO186" s="298"/>
      <c r="FPP186" s="298"/>
      <c r="FPQ186" s="298"/>
      <c r="FPR186" s="298"/>
      <c r="FPS186" s="298"/>
      <c r="FPT186" s="298"/>
      <c r="FPU186" s="298"/>
      <c r="FPV186" s="298"/>
      <c r="FPW186" s="298"/>
      <c r="FPX186" s="298"/>
      <c r="FPY186" s="298"/>
      <c r="FPZ186" s="298"/>
      <c r="FQA186" s="298"/>
      <c r="FQB186" s="298"/>
      <c r="FQC186" s="298"/>
      <c r="FQD186" s="298"/>
      <c r="FQE186" s="298"/>
      <c r="FQF186" s="298"/>
      <c r="FQG186" s="298"/>
      <c r="FQH186" s="298"/>
      <c r="FQI186" s="298"/>
      <c r="FQJ186" s="298"/>
      <c r="FQK186" s="298"/>
      <c r="FQL186" s="298"/>
      <c r="FQM186" s="298"/>
      <c r="FQN186" s="298"/>
      <c r="FQO186" s="298"/>
      <c r="FQP186" s="298"/>
      <c r="FQQ186" s="298"/>
      <c r="FQR186" s="298"/>
      <c r="FQS186" s="298"/>
      <c r="FQT186" s="298"/>
      <c r="FQU186" s="298"/>
      <c r="FQV186" s="298"/>
      <c r="FQW186" s="298"/>
      <c r="FQX186" s="298"/>
      <c r="FQY186" s="298"/>
      <c r="FQZ186" s="298"/>
      <c r="FRA186" s="298"/>
      <c r="FRB186" s="298"/>
      <c r="FRC186" s="298"/>
      <c r="FRD186" s="298"/>
      <c r="FRE186" s="298"/>
      <c r="FRF186" s="298"/>
      <c r="FRG186" s="298"/>
      <c r="FRH186" s="298"/>
      <c r="FRI186" s="298"/>
      <c r="FRJ186" s="298"/>
      <c r="FRK186" s="298"/>
      <c r="FRL186" s="298"/>
      <c r="FRM186" s="298"/>
      <c r="FRN186" s="298"/>
      <c r="FRO186" s="298"/>
      <c r="FRP186" s="298"/>
      <c r="FRQ186" s="298"/>
      <c r="FRR186" s="298"/>
      <c r="FRS186" s="298"/>
      <c r="FRT186" s="298"/>
      <c r="FRU186" s="298"/>
      <c r="FRV186" s="298"/>
      <c r="FRW186" s="298"/>
      <c r="FRX186" s="298"/>
      <c r="FRY186" s="298"/>
      <c r="FRZ186" s="298"/>
      <c r="FSA186" s="298"/>
      <c r="FSB186" s="298"/>
      <c r="FSC186" s="298"/>
      <c r="FSD186" s="298"/>
      <c r="FSE186" s="298"/>
      <c r="FSF186" s="298"/>
      <c r="FSG186" s="298"/>
      <c r="FSH186" s="298"/>
      <c r="FSI186" s="298"/>
      <c r="FSJ186" s="298"/>
      <c r="FSK186" s="298"/>
      <c r="FSL186" s="298"/>
      <c r="FSM186" s="298"/>
      <c r="FSN186" s="298"/>
      <c r="FSO186" s="298"/>
      <c r="FSP186" s="298"/>
      <c r="FSQ186" s="298"/>
      <c r="FSR186" s="298"/>
      <c r="FSS186" s="298"/>
      <c r="FST186" s="298"/>
      <c r="FSU186" s="298"/>
      <c r="FSV186" s="298"/>
      <c r="FSW186" s="298"/>
      <c r="FSX186" s="298"/>
      <c r="FSY186" s="298"/>
      <c r="FSZ186" s="298"/>
      <c r="FTA186" s="298"/>
      <c r="FTB186" s="298"/>
      <c r="FTC186" s="298"/>
      <c r="FTD186" s="298"/>
      <c r="FTE186" s="298"/>
      <c r="FTF186" s="298"/>
      <c r="FTG186" s="298"/>
      <c r="FTH186" s="298"/>
      <c r="FTI186" s="298"/>
      <c r="FTJ186" s="298"/>
      <c r="FTK186" s="298"/>
      <c r="FTL186" s="298"/>
      <c r="FTM186" s="298"/>
      <c r="FTN186" s="298"/>
      <c r="FTO186" s="298"/>
      <c r="FTP186" s="298"/>
      <c r="FTQ186" s="298"/>
      <c r="FTR186" s="298"/>
      <c r="FTS186" s="298"/>
      <c r="FTT186" s="298"/>
      <c r="FTU186" s="298"/>
      <c r="FTV186" s="298"/>
      <c r="FTW186" s="298"/>
      <c r="FTX186" s="298"/>
      <c r="FTY186" s="298"/>
      <c r="FTZ186" s="298"/>
      <c r="FUA186" s="298"/>
      <c r="FUB186" s="298"/>
      <c r="FUC186" s="298"/>
      <c r="FUD186" s="298"/>
      <c r="FUE186" s="298"/>
      <c r="FUF186" s="298"/>
      <c r="FUG186" s="298"/>
      <c r="FUH186" s="298"/>
      <c r="FUI186" s="298"/>
      <c r="FUJ186" s="298"/>
      <c r="FUK186" s="298"/>
      <c r="FUL186" s="298"/>
      <c r="FUM186" s="298"/>
      <c r="FUN186" s="298"/>
      <c r="FUO186" s="298"/>
      <c r="FUP186" s="298"/>
      <c r="FUQ186" s="298"/>
      <c r="FUR186" s="298"/>
      <c r="FUS186" s="298"/>
      <c r="FUT186" s="298"/>
      <c r="FUU186" s="298"/>
      <c r="FUV186" s="298"/>
      <c r="FUW186" s="298"/>
      <c r="FUX186" s="298"/>
      <c r="FUY186" s="298"/>
      <c r="FUZ186" s="298"/>
      <c r="FVA186" s="298"/>
      <c r="FVB186" s="298"/>
      <c r="FVC186" s="298"/>
      <c r="FVD186" s="298"/>
      <c r="FVE186" s="298"/>
      <c r="FVF186" s="298"/>
      <c r="FVG186" s="298"/>
      <c r="FVH186" s="298"/>
      <c r="FVI186" s="298"/>
      <c r="FVJ186" s="298"/>
      <c r="FVK186" s="298"/>
      <c r="FVL186" s="298"/>
      <c r="FVM186" s="298"/>
      <c r="FVN186" s="298"/>
      <c r="FVO186" s="298"/>
      <c r="FVP186" s="298"/>
      <c r="FVQ186" s="298"/>
      <c r="FVR186" s="298"/>
      <c r="FVS186" s="298"/>
      <c r="FVT186" s="298"/>
      <c r="FVU186" s="298"/>
      <c r="FVV186" s="298"/>
      <c r="FVW186" s="298"/>
      <c r="FVX186" s="298"/>
      <c r="FVY186" s="298"/>
      <c r="FVZ186" s="298"/>
      <c r="FWA186" s="298"/>
      <c r="FWB186" s="298"/>
      <c r="FWC186" s="298"/>
      <c r="FWD186" s="298"/>
      <c r="FWE186" s="298"/>
      <c r="FWF186" s="298"/>
      <c r="FWG186" s="298"/>
      <c r="FWH186" s="298"/>
      <c r="FWI186" s="298"/>
      <c r="FWJ186" s="298"/>
      <c r="FWK186" s="298"/>
      <c r="FWL186" s="298"/>
      <c r="FWM186" s="298"/>
      <c r="FWN186" s="298"/>
      <c r="FWO186" s="298"/>
      <c r="FWP186" s="298"/>
      <c r="FWQ186" s="298"/>
      <c r="FWR186" s="298"/>
      <c r="FWS186" s="298"/>
      <c r="FWT186" s="298"/>
      <c r="FWU186" s="298"/>
      <c r="FWV186" s="298"/>
      <c r="FWW186" s="298"/>
      <c r="FWX186" s="298"/>
      <c r="FWY186" s="298"/>
      <c r="FWZ186" s="298"/>
      <c r="FXA186" s="298"/>
      <c r="FXB186" s="298"/>
      <c r="FXC186" s="298"/>
      <c r="FXD186" s="298"/>
      <c r="FXE186" s="298"/>
      <c r="FXF186" s="298"/>
      <c r="FXG186" s="298"/>
      <c r="FXH186" s="298"/>
      <c r="FXI186" s="298"/>
      <c r="FXJ186" s="298"/>
      <c r="FXK186" s="298"/>
      <c r="FXL186" s="298"/>
      <c r="FXM186" s="298"/>
      <c r="FXN186" s="298"/>
      <c r="FXO186" s="298"/>
      <c r="FXP186" s="298"/>
      <c r="FXQ186" s="298"/>
      <c r="FXR186" s="298"/>
      <c r="FXS186" s="298"/>
      <c r="FXT186" s="298"/>
      <c r="FXU186" s="298"/>
      <c r="FXV186" s="298"/>
      <c r="FXW186" s="298"/>
      <c r="FXX186" s="298"/>
      <c r="FXY186" s="298"/>
      <c r="FXZ186" s="298"/>
      <c r="FYA186" s="298"/>
      <c r="FYB186" s="298"/>
      <c r="FYC186" s="298"/>
      <c r="FYD186" s="298"/>
      <c r="FYE186" s="298"/>
      <c r="FYF186" s="298"/>
      <c r="FYG186" s="298"/>
      <c r="FYH186" s="298"/>
      <c r="FYI186" s="298"/>
      <c r="FYJ186" s="298"/>
      <c r="FYK186" s="298"/>
      <c r="FYL186" s="298"/>
      <c r="FYM186" s="298"/>
      <c r="FYN186" s="298"/>
      <c r="FYO186" s="298"/>
      <c r="FYP186" s="298"/>
      <c r="FYQ186" s="298"/>
      <c r="FYR186" s="298"/>
      <c r="FYS186" s="298"/>
      <c r="FYT186" s="298"/>
      <c r="FYU186" s="298"/>
      <c r="FYV186" s="298"/>
      <c r="FYW186" s="298"/>
      <c r="FYX186" s="298"/>
      <c r="FYY186" s="298"/>
      <c r="FYZ186" s="298"/>
      <c r="FZA186" s="298"/>
      <c r="FZB186" s="298"/>
      <c r="FZC186" s="298"/>
      <c r="FZD186" s="298"/>
      <c r="FZE186" s="298"/>
      <c r="FZF186" s="298"/>
      <c r="FZG186" s="298"/>
      <c r="FZH186" s="298"/>
      <c r="FZI186" s="298"/>
      <c r="FZJ186" s="298"/>
      <c r="FZK186" s="298"/>
      <c r="FZL186" s="298"/>
      <c r="FZM186" s="298"/>
      <c r="FZN186" s="298"/>
      <c r="FZO186" s="298"/>
      <c r="FZP186" s="298"/>
      <c r="FZQ186" s="298"/>
      <c r="FZR186" s="298"/>
      <c r="FZS186" s="298"/>
      <c r="FZT186" s="298"/>
      <c r="FZU186" s="298"/>
      <c r="FZV186" s="298"/>
      <c r="FZW186" s="298"/>
      <c r="FZX186" s="298"/>
      <c r="FZY186" s="298"/>
      <c r="FZZ186" s="298"/>
      <c r="GAA186" s="298"/>
      <c r="GAB186" s="298"/>
      <c r="GAC186" s="298"/>
      <c r="GAD186" s="298"/>
      <c r="GAE186" s="298"/>
      <c r="GAF186" s="298"/>
      <c r="GAG186" s="298"/>
      <c r="GAH186" s="298"/>
      <c r="GAI186" s="298"/>
      <c r="GAJ186" s="298"/>
      <c r="GAK186" s="298"/>
      <c r="GAL186" s="298"/>
      <c r="GAM186" s="298"/>
      <c r="GAN186" s="298"/>
      <c r="GAO186" s="298"/>
      <c r="GAP186" s="298"/>
      <c r="GAQ186" s="298"/>
      <c r="GAR186" s="298"/>
      <c r="GAS186" s="298"/>
      <c r="GAT186" s="298"/>
      <c r="GAU186" s="298"/>
      <c r="GAV186" s="298"/>
      <c r="GAW186" s="298"/>
      <c r="GAX186" s="298"/>
      <c r="GAY186" s="298"/>
      <c r="GAZ186" s="298"/>
      <c r="GBA186" s="298"/>
      <c r="GBB186" s="298"/>
      <c r="GBC186" s="298"/>
      <c r="GBD186" s="298"/>
      <c r="GBE186" s="298"/>
      <c r="GBF186" s="298"/>
      <c r="GBG186" s="298"/>
      <c r="GBH186" s="298"/>
      <c r="GBI186" s="298"/>
      <c r="GBJ186" s="298"/>
      <c r="GBK186" s="298"/>
      <c r="GBL186" s="298"/>
      <c r="GBM186" s="298"/>
      <c r="GBN186" s="298"/>
      <c r="GBO186" s="298"/>
      <c r="GBP186" s="298"/>
      <c r="GBQ186" s="298"/>
      <c r="GBR186" s="298"/>
      <c r="GBS186" s="298"/>
      <c r="GBT186" s="298"/>
      <c r="GBU186" s="298"/>
      <c r="GBV186" s="298"/>
      <c r="GBW186" s="298"/>
      <c r="GBX186" s="298"/>
      <c r="GBY186" s="298"/>
      <c r="GBZ186" s="298"/>
      <c r="GCA186" s="298"/>
      <c r="GCB186" s="298"/>
      <c r="GCC186" s="298"/>
      <c r="GCD186" s="298"/>
      <c r="GCE186" s="298"/>
      <c r="GCF186" s="298"/>
      <c r="GCG186" s="298"/>
      <c r="GCH186" s="298"/>
      <c r="GCI186" s="298"/>
      <c r="GCJ186" s="298"/>
      <c r="GCK186" s="298"/>
      <c r="GCL186" s="298"/>
      <c r="GCM186" s="298"/>
      <c r="GCN186" s="298"/>
      <c r="GCO186" s="298"/>
      <c r="GCP186" s="298"/>
      <c r="GCQ186" s="298"/>
      <c r="GCR186" s="298"/>
      <c r="GCS186" s="298"/>
      <c r="GCT186" s="298"/>
      <c r="GCU186" s="298"/>
      <c r="GCV186" s="298"/>
      <c r="GCW186" s="298"/>
      <c r="GCX186" s="298"/>
      <c r="GCY186" s="298"/>
      <c r="GCZ186" s="298"/>
      <c r="GDA186" s="298"/>
      <c r="GDB186" s="298"/>
      <c r="GDC186" s="298"/>
      <c r="GDD186" s="298"/>
      <c r="GDE186" s="298"/>
      <c r="GDF186" s="298"/>
      <c r="GDG186" s="298"/>
      <c r="GDH186" s="298"/>
      <c r="GDI186" s="298"/>
      <c r="GDJ186" s="298"/>
      <c r="GDK186" s="298"/>
      <c r="GDL186" s="298"/>
      <c r="GDM186" s="298"/>
      <c r="GDN186" s="298"/>
      <c r="GDO186" s="298"/>
      <c r="GDP186" s="298"/>
      <c r="GDQ186" s="298"/>
      <c r="GDR186" s="298"/>
      <c r="GDS186" s="298"/>
      <c r="GDT186" s="298"/>
      <c r="GDU186" s="298"/>
      <c r="GDV186" s="298"/>
      <c r="GDW186" s="298"/>
      <c r="GDX186" s="298"/>
      <c r="GDY186" s="298"/>
      <c r="GDZ186" s="298"/>
      <c r="GEA186" s="298"/>
      <c r="GEB186" s="298"/>
      <c r="GEC186" s="298"/>
      <c r="GED186" s="298"/>
      <c r="GEE186" s="298"/>
      <c r="GEF186" s="298"/>
      <c r="GEG186" s="298"/>
      <c r="GEH186" s="298"/>
      <c r="GEI186" s="298"/>
      <c r="GEJ186" s="298"/>
      <c r="GEK186" s="298"/>
      <c r="GEL186" s="298"/>
      <c r="GEM186" s="298"/>
      <c r="GEN186" s="298"/>
      <c r="GEO186" s="298"/>
      <c r="GEP186" s="298"/>
      <c r="GEQ186" s="298"/>
      <c r="GER186" s="298"/>
      <c r="GES186" s="298"/>
      <c r="GET186" s="298"/>
      <c r="GEU186" s="298"/>
      <c r="GEV186" s="298"/>
      <c r="GEW186" s="298"/>
      <c r="GEX186" s="298"/>
      <c r="GEY186" s="298"/>
      <c r="GEZ186" s="298"/>
      <c r="GFA186" s="298"/>
      <c r="GFB186" s="298"/>
      <c r="GFC186" s="298"/>
      <c r="GFD186" s="298"/>
      <c r="GFE186" s="298"/>
      <c r="GFF186" s="298"/>
      <c r="GFG186" s="298"/>
      <c r="GFH186" s="298"/>
      <c r="GFI186" s="298"/>
      <c r="GFJ186" s="298"/>
      <c r="GFK186" s="298"/>
      <c r="GFL186" s="298"/>
      <c r="GFM186" s="298"/>
      <c r="GFN186" s="298"/>
      <c r="GFO186" s="298"/>
      <c r="GFP186" s="298"/>
      <c r="GFQ186" s="298"/>
      <c r="GFR186" s="298"/>
      <c r="GFS186" s="298"/>
      <c r="GFT186" s="298"/>
      <c r="GFU186" s="298"/>
      <c r="GFV186" s="298"/>
      <c r="GFW186" s="298"/>
      <c r="GFX186" s="298"/>
      <c r="GFY186" s="298"/>
      <c r="GFZ186" s="298"/>
      <c r="GGA186" s="298"/>
      <c r="GGB186" s="298"/>
      <c r="GGC186" s="298"/>
      <c r="GGD186" s="298"/>
      <c r="GGE186" s="298"/>
      <c r="GGF186" s="298"/>
      <c r="GGG186" s="298"/>
      <c r="GGH186" s="298"/>
      <c r="GGI186" s="298"/>
      <c r="GGJ186" s="298"/>
      <c r="GGK186" s="298"/>
      <c r="GGL186" s="298"/>
      <c r="GGM186" s="298"/>
      <c r="GGN186" s="298"/>
      <c r="GGO186" s="298"/>
      <c r="GGP186" s="298"/>
      <c r="GGQ186" s="298"/>
      <c r="GGR186" s="298"/>
      <c r="GGS186" s="298"/>
      <c r="GGT186" s="298"/>
      <c r="GGU186" s="298"/>
      <c r="GGV186" s="298"/>
      <c r="GGW186" s="298"/>
      <c r="GGX186" s="298"/>
      <c r="GGY186" s="298"/>
      <c r="GGZ186" s="298"/>
      <c r="GHA186" s="298"/>
      <c r="GHB186" s="298"/>
      <c r="GHC186" s="298"/>
      <c r="GHD186" s="298"/>
      <c r="GHE186" s="298"/>
      <c r="GHF186" s="298"/>
      <c r="GHG186" s="298"/>
      <c r="GHH186" s="298"/>
      <c r="GHI186" s="298"/>
      <c r="GHJ186" s="298"/>
      <c r="GHK186" s="298"/>
      <c r="GHL186" s="298"/>
      <c r="GHM186" s="298"/>
      <c r="GHN186" s="298"/>
      <c r="GHO186" s="298"/>
      <c r="GHP186" s="298"/>
      <c r="GHQ186" s="298"/>
      <c r="GHR186" s="298"/>
      <c r="GHS186" s="298"/>
      <c r="GHT186" s="298"/>
      <c r="GHU186" s="298"/>
      <c r="GHV186" s="298"/>
      <c r="GHW186" s="298"/>
      <c r="GHX186" s="298"/>
      <c r="GHY186" s="298"/>
      <c r="GHZ186" s="298"/>
      <c r="GIA186" s="298"/>
      <c r="GIB186" s="298"/>
      <c r="GIC186" s="298"/>
      <c r="GID186" s="298"/>
      <c r="GIE186" s="298"/>
      <c r="GIF186" s="298"/>
      <c r="GIG186" s="298"/>
      <c r="GIH186" s="298"/>
      <c r="GII186" s="298"/>
      <c r="GIJ186" s="298"/>
      <c r="GIK186" s="298"/>
      <c r="GIL186" s="298"/>
      <c r="GIM186" s="298"/>
      <c r="GIN186" s="298"/>
      <c r="GIO186" s="298"/>
      <c r="GIP186" s="298"/>
      <c r="GIQ186" s="298"/>
      <c r="GIR186" s="298"/>
      <c r="GIS186" s="298"/>
      <c r="GIT186" s="298"/>
      <c r="GIU186" s="298"/>
      <c r="GIV186" s="298"/>
      <c r="GIW186" s="298"/>
      <c r="GIX186" s="298"/>
      <c r="GIY186" s="298"/>
      <c r="GIZ186" s="298"/>
      <c r="GJA186" s="298"/>
      <c r="GJB186" s="298"/>
      <c r="GJC186" s="298"/>
      <c r="GJD186" s="298"/>
      <c r="GJE186" s="298"/>
      <c r="GJF186" s="298"/>
      <c r="GJG186" s="298"/>
      <c r="GJH186" s="298"/>
      <c r="GJI186" s="298"/>
      <c r="GJJ186" s="298"/>
      <c r="GJK186" s="298"/>
      <c r="GJL186" s="298"/>
      <c r="GJM186" s="298"/>
      <c r="GJN186" s="298"/>
      <c r="GJO186" s="298"/>
      <c r="GJP186" s="298"/>
      <c r="GJQ186" s="298"/>
      <c r="GJR186" s="298"/>
      <c r="GJS186" s="298"/>
      <c r="GJT186" s="298"/>
      <c r="GJU186" s="298"/>
      <c r="GJV186" s="298"/>
      <c r="GJW186" s="298"/>
      <c r="GJX186" s="298"/>
      <c r="GJY186" s="298"/>
      <c r="GJZ186" s="298"/>
      <c r="GKA186" s="298"/>
      <c r="GKB186" s="298"/>
      <c r="GKC186" s="298"/>
      <c r="GKD186" s="298"/>
      <c r="GKE186" s="298"/>
      <c r="GKF186" s="298"/>
      <c r="GKG186" s="298"/>
      <c r="GKH186" s="298"/>
      <c r="GKI186" s="298"/>
      <c r="GKJ186" s="298"/>
      <c r="GKK186" s="298"/>
      <c r="GKL186" s="298"/>
      <c r="GKM186" s="298"/>
      <c r="GKN186" s="298"/>
      <c r="GKO186" s="298"/>
      <c r="GKP186" s="298"/>
      <c r="GKQ186" s="298"/>
      <c r="GKR186" s="298"/>
      <c r="GKS186" s="298"/>
      <c r="GKT186" s="298"/>
      <c r="GKU186" s="298"/>
      <c r="GKV186" s="298"/>
      <c r="GKW186" s="298"/>
      <c r="GKX186" s="298"/>
      <c r="GKY186" s="298"/>
      <c r="GKZ186" s="298"/>
      <c r="GLA186" s="298"/>
      <c r="GLB186" s="298"/>
      <c r="GLC186" s="298"/>
      <c r="GLD186" s="298"/>
      <c r="GLE186" s="298"/>
      <c r="GLF186" s="298"/>
      <c r="GLG186" s="298"/>
      <c r="GLH186" s="298"/>
      <c r="GLI186" s="298"/>
      <c r="GLJ186" s="298"/>
      <c r="GLK186" s="298"/>
      <c r="GLL186" s="298"/>
      <c r="GLM186" s="298"/>
      <c r="GLN186" s="298"/>
      <c r="GLO186" s="298"/>
      <c r="GLP186" s="298"/>
      <c r="GLQ186" s="298"/>
      <c r="GLR186" s="298"/>
      <c r="GLS186" s="298"/>
      <c r="GLT186" s="298"/>
      <c r="GLU186" s="298"/>
      <c r="GLV186" s="298"/>
      <c r="GLW186" s="298"/>
      <c r="GLX186" s="298"/>
      <c r="GLY186" s="298"/>
      <c r="GLZ186" s="298"/>
      <c r="GMA186" s="298"/>
      <c r="GMB186" s="298"/>
      <c r="GMC186" s="298"/>
      <c r="GMD186" s="298"/>
      <c r="GME186" s="298"/>
      <c r="GMF186" s="298"/>
      <c r="GMG186" s="298"/>
      <c r="GMH186" s="298"/>
      <c r="GMI186" s="298"/>
      <c r="GMJ186" s="298"/>
      <c r="GMK186" s="298"/>
      <c r="GML186" s="298"/>
      <c r="GMM186" s="298"/>
      <c r="GMN186" s="298"/>
      <c r="GMO186" s="298"/>
      <c r="GMP186" s="298"/>
      <c r="GMQ186" s="298"/>
      <c r="GMR186" s="298"/>
      <c r="GMS186" s="298"/>
      <c r="GMT186" s="298"/>
      <c r="GMU186" s="298"/>
      <c r="GMV186" s="298"/>
      <c r="GMW186" s="298"/>
      <c r="GMX186" s="298"/>
      <c r="GMY186" s="298"/>
      <c r="GMZ186" s="298"/>
      <c r="GNA186" s="298"/>
      <c r="GNB186" s="298"/>
      <c r="GNC186" s="298"/>
      <c r="GND186" s="298"/>
      <c r="GNE186" s="298"/>
      <c r="GNF186" s="298"/>
      <c r="GNG186" s="298"/>
      <c r="GNH186" s="298"/>
      <c r="GNI186" s="298"/>
      <c r="GNJ186" s="298"/>
      <c r="GNK186" s="298"/>
      <c r="GNL186" s="298"/>
      <c r="GNM186" s="298"/>
      <c r="GNN186" s="298"/>
      <c r="GNO186" s="298"/>
      <c r="GNP186" s="298"/>
      <c r="GNQ186" s="298"/>
      <c r="GNR186" s="298"/>
      <c r="GNS186" s="298"/>
      <c r="GNT186" s="298"/>
      <c r="GNU186" s="298"/>
      <c r="GNV186" s="298"/>
      <c r="GNW186" s="298"/>
      <c r="GNX186" s="298"/>
      <c r="GNY186" s="298"/>
      <c r="GNZ186" s="298"/>
      <c r="GOA186" s="298"/>
      <c r="GOB186" s="298"/>
      <c r="GOC186" s="298"/>
      <c r="GOD186" s="298"/>
      <c r="GOE186" s="298"/>
      <c r="GOF186" s="298"/>
      <c r="GOG186" s="298"/>
      <c r="GOH186" s="298"/>
      <c r="GOI186" s="298"/>
      <c r="GOJ186" s="298"/>
      <c r="GOK186" s="298"/>
      <c r="GOL186" s="298"/>
      <c r="GOM186" s="298"/>
      <c r="GON186" s="298"/>
      <c r="GOO186" s="298"/>
      <c r="GOP186" s="298"/>
      <c r="GOQ186" s="298"/>
      <c r="GOR186" s="298"/>
      <c r="GOS186" s="298"/>
      <c r="GOT186" s="298"/>
      <c r="GOU186" s="298"/>
      <c r="GOV186" s="298"/>
      <c r="GOW186" s="298"/>
      <c r="GOX186" s="298"/>
      <c r="GOY186" s="298"/>
      <c r="GOZ186" s="298"/>
      <c r="GPA186" s="298"/>
      <c r="GPB186" s="298"/>
      <c r="GPC186" s="298"/>
      <c r="GPD186" s="298"/>
      <c r="GPE186" s="298"/>
      <c r="GPF186" s="298"/>
      <c r="GPG186" s="298"/>
      <c r="GPH186" s="298"/>
      <c r="GPI186" s="298"/>
      <c r="GPJ186" s="298"/>
      <c r="GPK186" s="298"/>
      <c r="GPL186" s="298"/>
      <c r="GPM186" s="298"/>
      <c r="GPN186" s="298"/>
      <c r="GPO186" s="298"/>
      <c r="GPP186" s="298"/>
      <c r="GPQ186" s="298"/>
      <c r="GPR186" s="298"/>
      <c r="GPS186" s="298"/>
      <c r="GPT186" s="298"/>
      <c r="GPU186" s="298"/>
      <c r="GPV186" s="298"/>
      <c r="GPW186" s="298"/>
      <c r="GPX186" s="298"/>
      <c r="GPY186" s="298"/>
      <c r="GPZ186" s="298"/>
      <c r="GQA186" s="298"/>
      <c r="GQB186" s="298"/>
      <c r="GQC186" s="298"/>
      <c r="GQD186" s="298"/>
      <c r="GQE186" s="298"/>
      <c r="GQF186" s="298"/>
      <c r="GQG186" s="298"/>
      <c r="GQH186" s="298"/>
      <c r="GQI186" s="298"/>
      <c r="GQJ186" s="298"/>
      <c r="GQK186" s="298"/>
      <c r="GQL186" s="298"/>
      <c r="GQM186" s="298"/>
      <c r="GQN186" s="298"/>
      <c r="GQO186" s="298"/>
      <c r="GQP186" s="298"/>
      <c r="GQQ186" s="298"/>
      <c r="GQR186" s="298"/>
      <c r="GQS186" s="298"/>
      <c r="GQT186" s="298"/>
      <c r="GQU186" s="298"/>
      <c r="GQV186" s="298"/>
      <c r="GQW186" s="298"/>
      <c r="GQX186" s="298"/>
      <c r="GQY186" s="298"/>
      <c r="GQZ186" s="298"/>
      <c r="GRA186" s="298"/>
      <c r="GRB186" s="298"/>
      <c r="GRC186" s="298"/>
      <c r="GRD186" s="298"/>
      <c r="GRE186" s="298"/>
      <c r="GRF186" s="298"/>
      <c r="GRG186" s="298"/>
      <c r="GRH186" s="298"/>
      <c r="GRI186" s="298"/>
      <c r="GRJ186" s="298"/>
      <c r="GRK186" s="298"/>
      <c r="GRL186" s="298"/>
      <c r="GRM186" s="298"/>
      <c r="GRN186" s="298"/>
      <c r="GRO186" s="298"/>
      <c r="GRP186" s="298"/>
      <c r="GRQ186" s="298"/>
      <c r="GRR186" s="298"/>
      <c r="GRS186" s="298"/>
      <c r="GRT186" s="298"/>
      <c r="GRU186" s="298"/>
      <c r="GRV186" s="298"/>
      <c r="GRW186" s="298"/>
      <c r="GRX186" s="298"/>
      <c r="GRY186" s="298"/>
      <c r="GRZ186" s="298"/>
      <c r="GSA186" s="298"/>
      <c r="GSB186" s="298"/>
      <c r="GSC186" s="298"/>
      <c r="GSD186" s="298"/>
      <c r="GSE186" s="298"/>
      <c r="GSF186" s="298"/>
      <c r="GSG186" s="298"/>
      <c r="GSH186" s="298"/>
      <c r="GSI186" s="298"/>
      <c r="GSJ186" s="298"/>
      <c r="GSK186" s="298"/>
      <c r="GSL186" s="298"/>
      <c r="GSM186" s="298"/>
      <c r="GSN186" s="298"/>
      <c r="GSO186" s="298"/>
      <c r="GSP186" s="298"/>
      <c r="GSQ186" s="298"/>
      <c r="GSR186" s="298"/>
      <c r="GSS186" s="298"/>
      <c r="GST186" s="298"/>
      <c r="GSU186" s="298"/>
      <c r="GSV186" s="298"/>
      <c r="GSW186" s="298"/>
      <c r="GSX186" s="298"/>
      <c r="GSY186" s="298"/>
      <c r="GSZ186" s="298"/>
      <c r="GTA186" s="298"/>
      <c r="GTB186" s="298"/>
      <c r="GTC186" s="298"/>
      <c r="GTD186" s="298"/>
      <c r="GTE186" s="298"/>
      <c r="GTF186" s="298"/>
      <c r="GTG186" s="298"/>
      <c r="GTH186" s="298"/>
      <c r="GTI186" s="298"/>
      <c r="GTJ186" s="298"/>
      <c r="GTK186" s="298"/>
      <c r="GTL186" s="298"/>
      <c r="GTM186" s="298"/>
      <c r="GTN186" s="298"/>
      <c r="GTO186" s="298"/>
      <c r="GTP186" s="298"/>
      <c r="GTQ186" s="298"/>
      <c r="GTR186" s="298"/>
      <c r="GTS186" s="298"/>
      <c r="GTT186" s="298"/>
      <c r="GTU186" s="298"/>
      <c r="GTV186" s="298"/>
      <c r="GTW186" s="298"/>
      <c r="GTX186" s="298"/>
      <c r="GTY186" s="298"/>
      <c r="GTZ186" s="298"/>
      <c r="GUA186" s="298"/>
      <c r="GUB186" s="298"/>
      <c r="GUC186" s="298"/>
      <c r="GUD186" s="298"/>
      <c r="GUE186" s="298"/>
      <c r="GUF186" s="298"/>
      <c r="GUG186" s="298"/>
      <c r="GUH186" s="298"/>
      <c r="GUI186" s="298"/>
      <c r="GUJ186" s="298"/>
      <c r="GUK186" s="298"/>
      <c r="GUL186" s="298"/>
      <c r="GUM186" s="298"/>
      <c r="GUN186" s="298"/>
      <c r="GUO186" s="298"/>
      <c r="GUP186" s="298"/>
      <c r="GUQ186" s="298"/>
      <c r="GUR186" s="298"/>
      <c r="GUS186" s="298"/>
      <c r="GUT186" s="298"/>
      <c r="GUU186" s="298"/>
      <c r="GUV186" s="298"/>
      <c r="GUW186" s="298"/>
      <c r="GUX186" s="298"/>
      <c r="GUY186" s="298"/>
      <c r="GUZ186" s="298"/>
      <c r="GVA186" s="298"/>
      <c r="GVB186" s="298"/>
      <c r="GVC186" s="298"/>
      <c r="GVD186" s="298"/>
      <c r="GVE186" s="298"/>
      <c r="GVF186" s="298"/>
      <c r="GVG186" s="298"/>
      <c r="GVH186" s="298"/>
      <c r="GVI186" s="298"/>
      <c r="GVJ186" s="298"/>
      <c r="GVK186" s="298"/>
      <c r="GVL186" s="298"/>
      <c r="GVM186" s="298"/>
      <c r="GVN186" s="298"/>
      <c r="GVO186" s="298"/>
      <c r="GVP186" s="298"/>
      <c r="GVQ186" s="298"/>
      <c r="GVR186" s="298"/>
      <c r="GVS186" s="298"/>
      <c r="GVT186" s="298"/>
      <c r="GVU186" s="298"/>
      <c r="GVV186" s="298"/>
      <c r="GVW186" s="298"/>
      <c r="GVX186" s="298"/>
      <c r="GVY186" s="298"/>
      <c r="GVZ186" s="298"/>
      <c r="GWA186" s="298"/>
      <c r="GWB186" s="298"/>
      <c r="GWC186" s="298"/>
      <c r="GWD186" s="298"/>
      <c r="GWE186" s="298"/>
      <c r="GWF186" s="298"/>
      <c r="GWG186" s="298"/>
      <c r="GWH186" s="298"/>
      <c r="GWI186" s="298"/>
      <c r="GWJ186" s="298"/>
      <c r="GWK186" s="298"/>
      <c r="GWL186" s="298"/>
      <c r="GWM186" s="298"/>
      <c r="GWN186" s="298"/>
      <c r="GWO186" s="298"/>
      <c r="GWP186" s="298"/>
      <c r="GWQ186" s="298"/>
      <c r="GWR186" s="298"/>
      <c r="GWS186" s="298"/>
      <c r="GWT186" s="298"/>
      <c r="GWU186" s="298"/>
      <c r="GWV186" s="298"/>
      <c r="GWW186" s="298"/>
      <c r="GWX186" s="298"/>
      <c r="GWY186" s="298"/>
      <c r="GWZ186" s="298"/>
      <c r="GXA186" s="298"/>
      <c r="GXB186" s="298"/>
      <c r="GXC186" s="298"/>
      <c r="GXD186" s="298"/>
      <c r="GXE186" s="298"/>
      <c r="GXF186" s="298"/>
      <c r="GXG186" s="298"/>
      <c r="GXH186" s="298"/>
      <c r="GXI186" s="298"/>
      <c r="GXJ186" s="298"/>
      <c r="GXK186" s="298"/>
      <c r="GXL186" s="298"/>
      <c r="GXM186" s="298"/>
      <c r="GXN186" s="298"/>
      <c r="GXO186" s="298"/>
      <c r="GXP186" s="298"/>
      <c r="GXQ186" s="298"/>
      <c r="GXR186" s="298"/>
      <c r="GXS186" s="298"/>
      <c r="GXT186" s="298"/>
      <c r="GXU186" s="298"/>
      <c r="GXV186" s="298"/>
      <c r="GXW186" s="298"/>
      <c r="GXX186" s="298"/>
      <c r="GXY186" s="298"/>
      <c r="GXZ186" s="298"/>
      <c r="GYA186" s="298"/>
      <c r="GYB186" s="298"/>
      <c r="GYC186" s="298"/>
      <c r="GYD186" s="298"/>
      <c r="GYE186" s="298"/>
      <c r="GYF186" s="298"/>
      <c r="GYG186" s="298"/>
      <c r="GYH186" s="298"/>
      <c r="GYI186" s="298"/>
      <c r="GYJ186" s="298"/>
      <c r="GYK186" s="298"/>
      <c r="GYL186" s="298"/>
      <c r="GYM186" s="298"/>
      <c r="GYN186" s="298"/>
      <c r="GYO186" s="298"/>
      <c r="GYP186" s="298"/>
      <c r="GYQ186" s="298"/>
      <c r="GYR186" s="298"/>
      <c r="GYS186" s="298"/>
      <c r="GYT186" s="298"/>
      <c r="GYU186" s="298"/>
      <c r="GYV186" s="298"/>
      <c r="GYW186" s="298"/>
      <c r="GYX186" s="298"/>
      <c r="GYY186" s="298"/>
      <c r="GYZ186" s="298"/>
      <c r="GZA186" s="298"/>
      <c r="GZB186" s="298"/>
      <c r="GZC186" s="298"/>
      <c r="GZD186" s="298"/>
      <c r="GZE186" s="298"/>
      <c r="GZF186" s="298"/>
      <c r="GZG186" s="298"/>
      <c r="GZH186" s="298"/>
      <c r="GZI186" s="298"/>
      <c r="GZJ186" s="298"/>
      <c r="GZK186" s="298"/>
      <c r="GZL186" s="298"/>
      <c r="GZM186" s="298"/>
      <c r="GZN186" s="298"/>
      <c r="GZO186" s="298"/>
      <c r="GZP186" s="298"/>
      <c r="GZQ186" s="298"/>
      <c r="GZR186" s="298"/>
      <c r="GZS186" s="298"/>
      <c r="GZT186" s="298"/>
      <c r="GZU186" s="298"/>
      <c r="GZV186" s="298"/>
      <c r="GZW186" s="298"/>
      <c r="GZX186" s="298"/>
      <c r="GZY186" s="298"/>
      <c r="GZZ186" s="298"/>
      <c r="HAA186" s="298"/>
      <c r="HAB186" s="298"/>
      <c r="HAC186" s="298"/>
      <c r="HAD186" s="298"/>
      <c r="HAE186" s="298"/>
      <c r="HAF186" s="298"/>
      <c r="HAG186" s="298"/>
      <c r="HAH186" s="298"/>
      <c r="HAI186" s="298"/>
      <c r="HAJ186" s="298"/>
      <c r="HAK186" s="298"/>
      <c r="HAL186" s="298"/>
      <c r="HAM186" s="298"/>
      <c r="HAN186" s="298"/>
      <c r="HAO186" s="298"/>
      <c r="HAP186" s="298"/>
      <c r="HAQ186" s="298"/>
      <c r="HAR186" s="298"/>
      <c r="HAS186" s="298"/>
      <c r="HAT186" s="298"/>
      <c r="HAU186" s="298"/>
      <c r="HAV186" s="298"/>
      <c r="HAW186" s="298"/>
      <c r="HAX186" s="298"/>
      <c r="HAY186" s="298"/>
      <c r="HAZ186" s="298"/>
      <c r="HBA186" s="298"/>
      <c r="HBB186" s="298"/>
      <c r="HBC186" s="298"/>
      <c r="HBD186" s="298"/>
      <c r="HBE186" s="298"/>
      <c r="HBF186" s="298"/>
      <c r="HBG186" s="298"/>
      <c r="HBH186" s="298"/>
      <c r="HBI186" s="298"/>
      <c r="HBJ186" s="298"/>
      <c r="HBK186" s="298"/>
      <c r="HBL186" s="298"/>
      <c r="HBM186" s="298"/>
      <c r="HBN186" s="298"/>
      <c r="HBO186" s="298"/>
      <c r="HBP186" s="298"/>
      <c r="HBQ186" s="298"/>
      <c r="HBR186" s="298"/>
      <c r="HBS186" s="298"/>
      <c r="HBT186" s="298"/>
      <c r="HBU186" s="298"/>
      <c r="HBV186" s="298"/>
      <c r="HBW186" s="298"/>
      <c r="HBX186" s="298"/>
      <c r="HBY186" s="298"/>
      <c r="HBZ186" s="298"/>
      <c r="HCA186" s="298"/>
      <c r="HCB186" s="298"/>
      <c r="HCC186" s="298"/>
      <c r="HCD186" s="298"/>
      <c r="HCE186" s="298"/>
      <c r="HCF186" s="298"/>
      <c r="HCG186" s="298"/>
      <c r="HCH186" s="298"/>
      <c r="HCI186" s="298"/>
      <c r="HCJ186" s="298"/>
      <c r="HCK186" s="298"/>
      <c r="HCL186" s="298"/>
      <c r="HCM186" s="298"/>
      <c r="HCN186" s="298"/>
      <c r="HCO186" s="298"/>
      <c r="HCP186" s="298"/>
      <c r="HCQ186" s="298"/>
      <c r="HCR186" s="298"/>
      <c r="HCS186" s="298"/>
      <c r="HCT186" s="298"/>
      <c r="HCU186" s="298"/>
      <c r="HCV186" s="298"/>
      <c r="HCW186" s="298"/>
      <c r="HCX186" s="298"/>
      <c r="HCY186" s="298"/>
      <c r="HCZ186" s="298"/>
      <c r="HDA186" s="298"/>
      <c r="HDB186" s="298"/>
      <c r="HDC186" s="298"/>
      <c r="HDD186" s="298"/>
      <c r="HDE186" s="298"/>
      <c r="HDF186" s="298"/>
      <c r="HDG186" s="298"/>
      <c r="HDH186" s="298"/>
      <c r="HDI186" s="298"/>
      <c r="HDJ186" s="298"/>
      <c r="HDK186" s="298"/>
      <c r="HDL186" s="298"/>
      <c r="HDM186" s="298"/>
      <c r="HDN186" s="298"/>
      <c r="HDO186" s="298"/>
      <c r="HDP186" s="298"/>
      <c r="HDQ186" s="298"/>
      <c r="HDR186" s="298"/>
      <c r="HDS186" s="298"/>
      <c r="HDT186" s="298"/>
      <c r="HDU186" s="298"/>
      <c r="HDV186" s="298"/>
      <c r="HDW186" s="298"/>
      <c r="HDX186" s="298"/>
      <c r="HDY186" s="298"/>
      <c r="HDZ186" s="298"/>
      <c r="HEA186" s="298"/>
      <c r="HEB186" s="298"/>
      <c r="HEC186" s="298"/>
      <c r="HED186" s="298"/>
      <c r="HEE186" s="298"/>
      <c r="HEF186" s="298"/>
      <c r="HEG186" s="298"/>
      <c r="HEH186" s="298"/>
      <c r="HEI186" s="298"/>
      <c r="HEJ186" s="298"/>
      <c r="HEK186" s="298"/>
      <c r="HEL186" s="298"/>
      <c r="HEM186" s="298"/>
      <c r="HEN186" s="298"/>
      <c r="HEO186" s="298"/>
      <c r="HEP186" s="298"/>
      <c r="HEQ186" s="298"/>
      <c r="HER186" s="298"/>
      <c r="HES186" s="298"/>
      <c r="HET186" s="298"/>
      <c r="HEU186" s="298"/>
      <c r="HEV186" s="298"/>
      <c r="HEW186" s="298"/>
      <c r="HEX186" s="298"/>
      <c r="HEY186" s="298"/>
      <c r="HEZ186" s="298"/>
      <c r="HFA186" s="298"/>
      <c r="HFB186" s="298"/>
      <c r="HFC186" s="298"/>
      <c r="HFD186" s="298"/>
      <c r="HFE186" s="298"/>
      <c r="HFF186" s="298"/>
      <c r="HFG186" s="298"/>
      <c r="HFH186" s="298"/>
      <c r="HFI186" s="298"/>
      <c r="HFJ186" s="298"/>
      <c r="HFK186" s="298"/>
      <c r="HFL186" s="298"/>
      <c r="HFM186" s="298"/>
      <c r="HFN186" s="298"/>
      <c r="HFO186" s="298"/>
      <c r="HFP186" s="298"/>
      <c r="HFQ186" s="298"/>
      <c r="HFR186" s="298"/>
      <c r="HFS186" s="298"/>
      <c r="HFT186" s="298"/>
      <c r="HFU186" s="298"/>
      <c r="HFV186" s="298"/>
      <c r="HFW186" s="298"/>
      <c r="HFX186" s="298"/>
      <c r="HFY186" s="298"/>
      <c r="HFZ186" s="298"/>
      <c r="HGA186" s="298"/>
      <c r="HGB186" s="298"/>
      <c r="HGC186" s="298"/>
      <c r="HGD186" s="298"/>
      <c r="HGE186" s="298"/>
      <c r="HGF186" s="298"/>
      <c r="HGG186" s="298"/>
      <c r="HGH186" s="298"/>
      <c r="HGI186" s="298"/>
      <c r="HGJ186" s="298"/>
      <c r="HGK186" s="298"/>
      <c r="HGL186" s="298"/>
      <c r="HGM186" s="298"/>
      <c r="HGN186" s="298"/>
      <c r="HGO186" s="298"/>
      <c r="HGP186" s="298"/>
      <c r="HGQ186" s="298"/>
      <c r="HGR186" s="298"/>
      <c r="HGS186" s="298"/>
      <c r="HGT186" s="298"/>
      <c r="HGU186" s="298"/>
      <c r="HGV186" s="298"/>
      <c r="HGW186" s="298"/>
      <c r="HGX186" s="298"/>
      <c r="HGY186" s="298"/>
      <c r="HGZ186" s="298"/>
      <c r="HHA186" s="298"/>
      <c r="HHB186" s="298"/>
      <c r="HHC186" s="298"/>
      <c r="HHD186" s="298"/>
      <c r="HHE186" s="298"/>
      <c r="HHF186" s="298"/>
      <c r="HHG186" s="298"/>
      <c r="HHH186" s="298"/>
      <c r="HHI186" s="298"/>
      <c r="HHJ186" s="298"/>
      <c r="HHK186" s="298"/>
      <c r="HHL186" s="298"/>
      <c r="HHM186" s="298"/>
      <c r="HHN186" s="298"/>
      <c r="HHO186" s="298"/>
      <c r="HHP186" s="298"/>
      <c r="HHQ186" s="298"/>
      <c r="HHR186" s="298"/>
      <c r="HHS186" s="298"/>
      <c r="HHT186" s="298"/>
      <c r="HHU186" s="298"/>
      <c r="HHV186" s="298"/>
      <c r="HHW186" s="298"/>
      <c r="HHX186" s="298"/>
      <c r="HHY186" s="298"/>
      <c r="HHZ186" s="298"/>
      <c r="HIA186" s="298"/>
      <c r="HIB186" s="298"/>
      <c r="HIC186" s="298"/>
      <c r="HID186" s="298"/>
      <c r="HIE186" s="298"/>
      <c r="HIF186" s="298"/>
      <c r="HIG186" s="298"/>
      <c r="HIH186" s="298"/>
      <c r="HII186" s="298"/>
      <c r="HIJ186" s="298"/>
      <c r="HIK186" s="298"/>
      <c r="HIL186" s="298"/>
      <c r="HIM186" s="298"/>
      <c r="HIN186" s="298"/>
      <c r="HIO186" s="298"/>
      <c r="HIP186" s="298"/>
      <c r="HIQ186" s="298"/>
      <c r="HIR186" s="298"/>
      <c r="HIS186" s="298"/>
      <c r="HIT186" s="298"/>
      <c r="HIU186" s="298"/>
      <c r="HIV186" s="298"/>
      <c r="HIW186" s="298"/>
      <c r="HIX186" s="298"/>
      <c r="HIY186" s="298"/>
      <c r="HIZ186" s="298"/>
      <c r="HJA186" s="298"/>
      <c r="HJB186" s="298"/>
      <c r="HJC186" s="298"/>
      <c r="HJD186" s="298"/>
      <c r="HJE186" s="298"/>
      <c r="HJF186" s="298"/>
      <c r="HJG186" s="298"/>
      <c r="HJH186" s="298"/>
      <c r="HJI186" s="298"/>
      <c r="HJJ186" s="298"/>
      <c r="HJK186" s="298"/>
      <c r="HJL186" s="298"/>
      <c r="HJM186" s="298"/>
      <c r="HJN186" s="298"/>
      <c r="HJO186" s="298"/>
      <c r="HJP186" s="298"/>
      <c r="HJQ186" s="298"/>
      <c r="HJR186" s="298"/>
      <c r="HJS186" s="298"/>
      <c r="HJT186" s="298"/>
      <c r="HJU186" s="298"/>
      <c r="HJV186" s="298"/>
      <c r="HJW186" s="298"/>
      <c r="HJX186" s="298"/>
      <c r="HJY186" s="298"/>
      <c r="HJZ186" s="298"/>
      <c r="HKA186" s="298"/>
      <c r="HKB186" s="298"/>
      <c r="HKC186" s="298"/>
      <c r="HKD186" s="298"/>
      <c r="HKE186" s="298"/>
      <c r="HKF186" s="298"/>
      <c r="HKG186" s="298"/>
      <c r="HKH186" s="298"/>
      <c r="HKI186" s="298"/>
      <c r="HKJ186" s="298"/>
      <c r="HKK186" s="298"/>
      <c r="HKL186" s="298"/>
      <c r="HKM186" s="298"/>
      <c r="HKN186" s="298"/>
      <c r="HKO186" s="298"/>
      <c r="HKP186" s="298"/>
      <c r="HKQ186" s="298"/>
      <c r="HKR186" s="298"/>
      <c r="HKS186" s="298"/>
      <c r="HKT186" s="298"/>
      <c r="HKU186" s="298"/>
      <c r="HKV186" s="298"/>
      <c r="HKW186" s="298"/>
      <c r="HKX186" s="298"/>
      <c r="HKY186" s="298"/>
      <c r="HKZ186" s="298"/>
      <c r="HLA186" s="298"/>
      <c r="HLB186" s="298"/>
      <c r="HLC186" s="298"/>
      <c r="HLD186" s="298"/>
      <c r="HLE186" s="298"/>
      <c r="HLF186" s="298"/>
      <c r="HLG186" s="298"/>
      <c r="HLH186" s="298"/>
      <c r="HLI186" s="298"/>
      <c r="HLJ186" s="298"/>
      <c r="HLK186" s="298"/>
      <c r="HLL186" s="298"/>
      <c r="HLM186" s="298"/>
      <c r="HLN186" s="298"/>
      <c r="HLO186" s="298"/>
      <c r="HLP186" s="298"/>
      <c r="HLQ186" s="298"/>
      <c r="HLR186" s="298"/>
      <c r="HLS186" s="298"/>
      <c r="HLT186" s="298"/>
      <c r="HLU186" s="298"/>
      <c r="HLV186" s="298"/>
      <c r="HLW186" s="298"/>
      <c r="HLX186" s="298"/>
      <c r="HLY186" s="298"/>
      <c r="HLZ186" s="298"/>
      <c r="HMA186" s="298"/>
      <c r="HMB186" s="298"/>
      <c r="HMC186" s="298"/>
      <c r="HMD186" s="298"/>
      <c r="HME186" s="298"/>
      <c r="HMF186" s="298"/>
      <c r="HMG186" s="298"/>
      <c r="HMH186" s="298"/>
      <c r="HMI186" s="298"/>
      <c r="HMJ186" s="298"/>
      <c r="HMK186" s="298"/>
      <c r="HML186" s="298"/>
      <c r="HMM186" s="298"/>
      <c r="HMN186" s="298"/>
      <c r="HMO186" s="298"/>
      <c r="HMP186" s="298"/>
      <c r="HMQ186" s="298"/>
      <c r="HMR186" s="298"/>
      <c r="HMS186" s="298"/>
      <c r="HMT186" s="298"/>
      <c r="HMU186" s="298"/>
      <c r="HMV186" s="298"/>
      <c r="HMW186" s="298"/>
      <c r="HMX186" s="298"/>
      <c r="HMY186" s="298"/>
      <c r="HMZ186" s="298"/>
      <c r="HNA186" s="298"/>
      <c r="HNB186" s="298"/>
      <c r="HNC186" s="298"/>
      <c r="HND186" s="298"/>
      <c r="HNE186" s="298"/>
      <c r="HNF186" s="298"/>
      <c r="HNG186" s="298"/>
      <c r="HNH186" s="298"/>
      <c r="HNI186" s="298"/>
      <c r="HNJ186" s="298"/>
      <c r="HNK186" s="298"/>
      <c r="HNL186" s="298"/>
      <c r="HNM186" s="298"/>
      <c r="HNN186" s="298"/>
      <c r="HNO186" s="298"/>
      <c r="HNP186" s="298"/>
      <c r="HNQ186" s="298"/>
      <c r="HNR186" s="298"/>
      <c r="HNS186" s="298"/>
      <c r="HNT186" s="298"/>
      <c r="HNU186" s="298"/>
      <c r="HNV186" s="298"/>
      <c r="HNW186" s="298"/>
      <c r="HNX186" s="298"/>
      <c r="HNY186" s="298"/>
      <c r="HNZ186" s="298"/>
      <c r="HOA186" s="298"/>
      <c r="HOB186" s="298"/>
      <c r="HOC186" s="298"/>
      <c r="HOD186" s="298"/>
      <c r="HOE186" s="298"/>
      <c r="HOF186" s="298"/>
      <c r="HOG186" s="298"/>
      <c r="HOH186" s="298"/>
      <c r="HOI186" s="298"/>
      <c r="HOJ186" s="298"/>
      <c r="HOK186" s="298"/>
      <c r="HOL186" s="298"/>
      <c r="HOM186" s="298"/>
      <c r="HON186" s="298"/>
      <c r="HOO186" s="298"/>
      <c r="HOP186" s="298"/>
      <c r="HOQ186" s="298"/>
      <c r="HOR186" s="298"/>
      <c r="HOS186" s="298"/>
      <c r="HOT186" s="298"/>
      <c r="HOU186" s="298"/>
      <c r="HOV186" s="298"/>
      <c r="HOW186" s="298"/>
      <c r="HOX186" s="298"/>
      <c r="HOY186" s="298"/>
      <c r="HOZ186" s="298"/>
      <c r="HPA186" s="298"/>
      <c r="HPB186" s="298"/>
      <c r="HPC186" s="298"/>
      <c r="HPD186" s="298"/>
      <c r="HPE186" s="298"/>
      <c r="HPF186" s="298"/>
      <c r="HPG186" s="298"/>
      <c r="HPH186" s="298"/>
      <c r="HPI186" s="298"/>
      <c r="HPJ186" s="298"/>
      <c r="HPK186" s="298"/>
      <c r="HPL186" s="298"/>
      <c r="HPM186" s="298"/>
      <c r="HPN186" s="298"/>
      <c r="HPO186" s="298"/>
      <c r="HPP186" s="298"/>
      <c r="HPQ186" s="298"/>
      <c r="HPR186" s="298"/>
      <c r="HPS186" s="298"/>
      <c r="HPT186" s="298"/>
      <c r="HPU186" s="298"/>
      <c r="HPV186" s="298"/>
      <c r="HPW186" s="298"/>
      <c r="HPX186" s="298"/>
      <c r="HPY186" s="298"/>
      <c r="HPZ186" s="298"/>
      <c r="HQA186" s="298"/>
      <c r="HQB186" s="298"/>
      <c r="HQC186" s="298"/>
      <c r="HQD186" s="298"/>
      <c r="HQE186" s="298"/>
      <c r="HQF186" s="298"/>
      <c r="HQG186" s="298"/>
      <c r="HQH186" s="298"/>
      <c r="HQI186" s="298"/>
      <c r="HQJ186" s="298"/>
      <c r="HQK186" s="298"/>
      <c r="HQL186" s="298"/>
      <c r="HQM186" s="298"/>
      <c r="HQN186" s="298"/>
      <c r="HQO186" s="298"/>
      <c r="HQP186" s="298"/>
      <c r="HQQ186" s="298"/>
      <c r="HQR186" s="298"/>
      <c r="HQS186" s="298"/>
      <c r="HQT186" s="298"/>
      <c r="HQU186" s="298"/>
      <c r="HQV186" s="298"/>
      <c r="HQW186" s="298"/>
      <c r="HQX186" s="298"/>
      <c r="HQY186" s="298"/>
      <c r="HQZ186" s="298"/>
      <c r="HRA186" s="298"/>
      <c r="HRB186" s="298"/>
      <c r="HRC186" s="298"/>
      <c r="HRD186" s="298"/>
      <c r="HRE186" s="298"/>
      <c r="HRF186" s="298"/>
      <c r="HRG186" s="298"/>
      <c r="HRH186" s="298"/>
      <c r="HRI186" s="298"/>
      <c r="HRJ186" s="298"/>
      <c r="HRK186" s="298"/>
      <c r="HRL186" s="298"/>
      <c r="HRM186" s="298"/>
      <c r="HRN186" s="298"/>
      <c r="HRO186" s="298"/>
      <c r="HRP186" s="298"/>
      <c r="HRQ186" s="298"/>
      <c r="HRR186" s="298"/>
      <c r="HRS186" s="298"/>
      <c r="HRT186" s="298"/>
      <c r="HRU186" s="298"/>
      <c r="HRV186" s="298"/>
      <c r="HRW186" s="298"/>
      <c r="HRX186" s="298"/>
      <c r="HRY186" s="298"/>
      <c r="HRZ186" s="298"/>
      <c r="HSA186" s="298"/>
      <c r="HSB186" s="298"/>
      <c r="HSC186" s="298"/>
      <c r="HSD186" s="298"/>
      <c r="HSE186" s="298"/>
      <c r="HSF186" s="298"/>
      <c r="HSG186" s="298"/>
      <c r="HSH186" s="298"/>
      <c r="HSI186" s="298"/>
      <c r="HSJ186" s="298"/>
      <c r="HSK186" s="298"/>
      <c r="HSL186" s="298"/>
      <c r="HSM186" s="298"/>
      <c r="HSN186" s="298"/>
      <c r="HSO186" s="298"/>
      <c r="HSP186" s="298"/>
      <c r="HSQ186" s="298"/>
      <c r="HSR186" s="298"/>
      <c r="HSS186" s="298"/>
      <c r="HST186" s="298"/>
      <c r="HSU186" s="298"/>
      <c r="HSV186" s="298"/>
      <c r="HSW186" s="298"/>
      <c r="HSX186" s="298"/>
      <c r="HSY186" s="298"/>
      <c r="HSZ186" s="298"/>
      <c r="HTA186" s="298"/>
      <c r="HTB186" s="298"/>
      <c r="HTC186" s="298"/>
      <c r="HTD186" s="298"/>
      <c r="HTE186" s="298"/>
      <c r="HTF186" s="298"/>
      <c r="HTG186" s="298"/>
      <c r="HTH186" s="298"/>
      <c r="HTI186" s="298"/>
      <c r="HTJ186" s="298"/>
      <c r="HTK186" s="298"/>
      <c r="HTL186" s="298"/>
      <c r="HTM186" s="298"/>
      <c r="HTN186" s="298"/>
      <c r="HTO186" s="298"/>
      <c r="HTP186" s="298"/>
      <c r="HTQ186" s="298"/>
      <c r="HTR186" s="298"/>
      <c r="HTS186" s="298"/>
      <c r="HTT186" s="298"/>
      <c r="HTU186" s="298"/>
      <c r="HTV186" s="298"/>
      <c r="HTW186" s="298"/>
      <c r="HTX186" s="298"/>
      <c r="HTY186" s="298"/>
      <c r="HTZ186" s="298"/>
      <c r="HUA186" s="298"/>
      <c r="HUB186" s="298"/>
      <c r="HUC186" s="298"/>
      <c r="HUD186" s="298"/>
      <c r="HUE186" s="298"/>
      <c r="HUF186" s="298"/>
      <c r="HUG186" s="298"/>
      <c r="HUH186" s="298"/>
      <c r="HUI186" s="298"/>
      <c r="HUJ186" s="298"/>
      <c r="HUK186" s="298"/>
      <c r="HUL186" s="298"/>
      <c r="HUM186" s="298"/>
      <c r="HUN186" s="298"/>
      <c r="HUO186" s="298"/>
      <c r="HUP186" s="298"/>
      <c r="HUQ186" s="298"/>
      <c r="HUR186" s="298"/>
      <c r="HUS186" s="298"/>
      <c r="HUT186" s="298"/>
      <c r="HUU186" s="298"/>
      <c r="HUV186" s="298"/>
      <c r="HUW186" s="298"/>
      <c r="HUX186" s="298"/>
      <c r="HUY186" s="298"/>
      <c r="HUZ186" s="298"/>
      <c r="HVA186" s="298"/>
      <c r="HVB186" s="298"/>
      <c r="HVC186" s="298"/>
      <c r="HVD186" s="298"/>
      <c r="HVE186" s="298"/>
      <c r="HVF186" s="298"/>
      <c r="HVG186" s="298"/>
      <c r="HVH186" s="298"/>
      <c r="HVI186" s="298"/>
      <c r="HVJ186" s="298"/>
      <c r="HVK186" s="298"/>
      <c r="HVL186" s="298"/>
      <c r="HVM186" s="298"/>
      <c r="HVN186" s="298"/>
      <c r="HVO186" s="298"/>
      <c r="HVP186" s="298"/>
      <c r="HVQ186" s="298"/>
      <c r="HVR186" s="298"/>
      <c r="HVS186" s="298"/>
      <c r="HVT186" s="298"/>
      <c r="HVU186" s="298"/>
      <c r="HVV186" s="298"/>
      <c r="HVW186" s="298"/>
      <c r="HVX186" s="298"/>
      <c r="HVY186" s="298"/>
      <c r="HVZ186" s="298"/>
      <c r="HWA186" s="298"/>
      <c r="HWB186" s="298"/>
      <c r="HWC186" s="298"/>
      <c r="HWD186" s="298"/>
      <c r="HWE186" s="298"/>
      <c r="HWF186" s="298"/>
      <c r="HWG186" s="298"/>
      <c r="HWH186" s="298"/>
      <c r="HWI186" s="298"/>
      <c r="HWJ186" s="298"/>
      <c r="HWK186" s="298"/>
      <c r="HWL186" s="298"/>
      <c r="HWM186" s="298"/>
      <c r="HWN186" s="298"/>
      <c r="HWO186" s="298"/>
      <c r="HWP186" s="298"/>
      <c r="HWQ186" s="298"/>
      <c r="HWR186" s="298"/>
      <c r="HWS186" s="298"/>
      <c r="HWT186" s="298"/>
      <c r="HWU186" s="298"/>
      <c r="HWV186" s="298"/>
      <c r="HWW186" s="298"/>
      <c r="HWX186" s="298"/>
      <c r="HWY186" s="298"/>
      <c r="HWZ186" s="298"/>
      <c r="HXA186" s="298"/>
      <c r="HXB186" s="298"/>
      <c r="HXC186" s="298"/>
      <c r="HXD186" s="298"/>
      <c r="HXE186" s="298"/>
      <c r="HXF186" s="298"/>
      <c r="HXG186" s="298"/>
      <c r="HXH186" s="298"/>
      <c r="HXI186" s="298"/>
      <c r="HXJ186" s="298"/>
      <c r="HXK186" s="298"/>
      <c r="HXL186" s="298"/>
      <c r="HXM186" s="298"/>
      <c r="HXN186" s="298"/>
      <c r="HXO186" s="298"/>
      <c r="HXP186" s="298"/>
      <c r="HXQ186" s="298"/>
      <c r="HXR186" s="298"/>
      <c r="HXS186" s="298"/>
      <c r="HXT186" s="298"/>
      <c r="HXU186" s="298"/>
      <c r="HXV186" s="298"/>
      <c r="HXW186" s="298"/>
      <c r="HXX186" s="298"/>
      <c r="HXY186" s="298"/>
      <c r="HXZ186" s="298"/>
      <c r="HYA186" s="298"/>
      <c r="HYB186" s="298"/>
      <c r="HYC186" s="298"/>
      <c r="HYD186" s="298"/>
      <c r="HYE186" s="298"/>
      <c r="HYF186" s="298"/>
      <c r="HYG186" s="298"/>
      <c r="HYH186" s="298"/>
      <c r="HYI186" s="298"/>
      <c r="HYJ186" s="298"/>
      <c r="HYK186" s="298"/>
      <c r="HYL186" s="298"/>
      <c r="HYM186" s="298"/>
      <c r="HYN186" s="298"/>
      <c r="HYO186" s="298"/>
      <c r="HYP186" s="298"/>
      <c r="HYQ186" s="298"/>
      <c r="HYR186" s="298"/>
      <c r="HYS186" s="298"/>
      <c r="HYT186" s="298"/>
      <c r="HYU186" s="298"/>
      <c r="HYV186" s="298"/>
      <c r="HYW186" s="298"/>
      <c r="HYX186" s="298"/>
      <c r="HYY186" s="298"/>
      <c r="HYZ186" s="298"/>
      <c r="HZA186" s="298"/>
      <c r="HZB186" s="298"/>
      <c r="HZC186" s="298"/>
      <c r="HZD186" s="298"/>
      <c r="HZE186" s="298"/>
      <c r="HZF186" s="298"/>
      <c r="HZG186" s="298"/>
      <c r="HZH186" s="298"/>
      <c r="HZI186" s="298"/>
      <c r="HZJ186" s="298"/>
      <c r="HZK186" s="298"/>
      <c r="HZL186" s="298"/>
      <c r="HZM186" s="298"/>
      <c r="HZN186" s="298"/>
      <c r="HZO186" s="298"/>
      <c r="HZP186" s="298"/>
      <c r="HZQ186" s="298"/>
      <c r="HZR186" s="298"/>
      <c r="HZS186" s="298"/>
      <c r="HZT186" s="298"/>
      <c r="HZU186" s="298"/>
      <c r="HZV186" s="298"/>
      <c r="HZW186" s="298"/>
      <c r="HZX186" s="298"/>
      <c r="HZY186" s="298"/>
      <c r="HZZ186" s="298"/>
      <c r="IAA186" s="298"/>
      <c r="IAB186" s="298"/>
      <c r="IAC186" s="298"/>
      <c r="IAD186" s="298"/>
      <c r="IAE186" s="298"/>
      <c r="IAF186" s="298"/>
      <c r="IAG186" s="298"/>
      <c r="IAH186" s="298"/>
      <c r="IAI186" s="298"/>
      <c r="IAJ186" s="298"/>
      <c r="IAK186" s="298"/>
      <c r="IAL186" s="298"/>
      <c r="IAM186" s="298"/>
      <c r="IAN186" s="298"/>
      <c r="IAO186" s="298"/>
      <c r="IAP186" s="298"/>
      <c r="IAQ186" s="298"/>
      <c r="IAR186" s="298"/>
      <c r="IAS186" s="298"/>
      <c r="IAT186" s="298"/>
      <c r="IAU186" s="298"/>
      <c r="IAV186" s="298"/>
      <c r="IAW186" s="298"/>
      <c r="IAX186" s="298"/>
      <c r="IAY186" s="298"/>
      <c r="IAZ186" s="298"/>
      <c r="IBA186" s="298"/>
      <c r="IBB186" s="298"/>
      <c r="IBC186" s="298"/>
      <c r="IBD186" s="298"/>
      <c r="IBE186" s="298"/>
      <c r="IBF186" s="298"/>
      <c r="IBG186" s="298"/>
      <c r="IBH186" s="298"/>
      <c r="IBI186" s="298"/>
      <c r="IBJ186" s="298"/>
      <c r="IBK186" s="298"/>
      <c r="IBL186" s="298"/>
      <c r="IBM186" s="298"/>
      <c r="IBN186" s="298"/>
      <c r="IBO186" s="298"/>
      <c r="IBP186" s="298"/>
      <c r="IBQ186" s="298"/>
      <c r="IBR186" s="298"/>
      <c r="IBS186" s="298"/>
      <c r="IBT186" s="298"/>
      <c r="IBU186" s="298"/>
      <c r="IBV186" s="298"/>
      <c r="IBW186" s="298"/>
      <c r="IBX186" s="298"/>
      <c r="IBY186" s="298"/>
      <c r="IBZ186" s="298"/>
      <c r="ICA186" s="298"/>
      <c r="ICB186" s="298"/>
      <c r="ICC186" s="298"/>
      <c r="ICD186" s="298"/>
      <c r="ICE186" s="298"/>
      <c r="ICF186" s="298"/>
      <c r="ICG186" s="298"/>
      <c r="ICH186" s="298"/>
      <c r="ICI186" s="298"/>
      <c r="ICJ186" s="298"/>
      <c r="ICK186" s="298"/>
      <c r="ICL186" s="298"/>
      <c r="ICM186" s="298"/>
      <c r="ICN186" s="298"/>
      <c r="ICO186" s="298"/>
      <c r="ICP186" s="298"/>
      <c r="ICQ186" s="298"/>
      <c r="ICR186" s="298"/>
      <c r="ICS186" s="298"/>
      <c r="ICT186" s="298"/>
      <c r="ICU186" s="298"/>
      <c r="ICV186" s="298"/>
      <c r="ICW186" s="298"/>
      <c r="ICX186" s="298"/>
      <c r="ICY186" s="298"/>
      <c r="ICZ186" s="298"/>
      <c r="IDA186" s="298"/>
      <c r="IDB186" s="298"/>
      <c r="IDC186" s="298"/>
      <c r="IDD186" s="298"/>
      <c r="IDE186" s="298"/>
      <c r="IDF186" s="298"/>
      <c r="IDG186" s="298"/>
      <c r="IDH186" s="298"/>
      <c r="IDI186" s="298"/>
      <c r="IDJ186" s="298"/>
      <c r="IDK186" s="298"/>
      <c r="IDL186" s="298"/>
      <c r="IDM186" s="298"/>
      <c r="IDN186" s="298"/>
      <c r="IDO186" s="298"/>
      <c r="IDP186" s="298"/>
      <c r="IDQ186" s="298"/>
      <c r="IDR186" s="298"/>
      <c r="IDS186" s="298"/>
      <c r="IDT186" s="298"/>
      <c r="IDU186" s="298"/>
      <c r="IDV186" s="298"/>
      <c r="IDW186" s="298"/>
      <c r="IDX186" s="298"/>
      <c r="IDY186" s="298"/>
      <c r="IDZ186" s="298"/>
      <c r="IEA186" s="298"/>
      <c r="IEB186" s="298"/>
      <c r="IEC186" s="298"/>
      <c r="IED186" s="298"/>
      <c r="IEE186" s="298"/>
      <c r="IEF186" s="298"/>
      <c r="IEG186" s="298"/>
      <c r="IEH186" s="298"/>
      <c r="IEI186" s="298"/>
      <c r="IEJ186" s="298"/>
      <c r="IEK186" s="298"/>
      <c r="IEL186" s="298"/>
      <c r="IEM186" s="298"/>
      <c r="IEN186" s="298"/>
      <c r="IEO186" s="298"/>
      <c r="IEP186" s="298"/>
      <c r="IEQ186" s="298"/>
      <c r="IER186" s="298"/>
      <c r="IES186" s="298"/>
      <c r="IET186" s="298"/>
      <c r="IEU186" s="298"/>
      <c r="IEV186" s="298"/>
      <c r="IEW186" s="298"/>
      <c r="IEX186" s="298"/>
      <c r="IEY186" s="298"/>
      <c r="IEZ186" s="298"/>
      <c r="IFA186" s="298"/>
      <c r="IFB186" s="298"/>
      <c r="IFC186" s="298"/>
      <c r="IFD186" s="298"/>
      <c r="IFE186" s="298"/>
      <c r="IFF186" s="298"/>
      <c r="IFG186" s="298"/>
      <c r="IFH186" s="298"/>
      <c r="IFI186" s="298"/>
      <c r="IFJ186" s="298"/>
      <c r="IFK186" s="298"/>
      <c r="IFL186" s="298"/>
      <c r="IFM186" s="298"/>
      <c r="IFN186" s="298"/>
      <c r="IFO186" s="298"/>
      <c r="IFP186" s="298"/>
      <c r="IFQ186" s="298"/>
      <c r="IFR186" s="298"/>
      <c r="IFS186" s="298"/>
      <c r="IFT186" s="298"/>
      <c r="IFU186" s="298"/>
      <c r="IFV186" s="298"/>
      <c r="IFW186" s="298"/>
      <c r="IFX186" s="298"/>
      <c r="IFY186" s="298"/>
      <c r="IFZ186" s="298"/>
      <c r="IGA186" s="298"/>
      <c r="IGB186" s="298"/>
      <c r="IGC186" s="298"/>
      <c r="IGD186" s="298"/>
      <c r="IGE186" s="298"/>
      <c r="IGF186" s="298"/>
      <c r="IGG186" s="298"/>
      <c r="IGH186" s="298"/>
      <c r="IGI186" s="298"/>
      <c r="IGJ186" s="298"/>
      <c r="IGK186" s="298"/>
      <c r="IGL186" s="298"/>
      <c r="IGM186" s="298"/>
      <c r="IGN186" s="298"/>
      <c r="IGO186" s="298"/>
      <c r="IGP186" s="298"/>
      <c r="IGQ186" s="298"/>
      <c r="IGR186" s="298"/>
      <c r="IGS186" s="298"/>
      <c r="IGT186" s="298"/>
      <c r="IGU186" s="298"/>
      <c r="IGV186" s="298"/>
      <c r="IGW186" s="298"/>
      <c r="IGX186" s="298"/>
      <c r="IGY186" s="298"/>
      <c r="IGZ186" s="298"/>
      <c r="IHA186" s="298"/>
      <c r="IHB186" s="298"/>
      <c r="IHC186" s="298"/>
      <c r="IHD186" s="298"/>
      <c r="IHE186" s="298"/>
      <c r="IHF186" s="298"/>
      <c r="IHG186" s="298"/>
      <c r="IHH186" s="298"/>
      <c r="IHI186" s="298"/>
      <c r="IHJ186" s="298"/>
      <c r="IHK186" s="298"/>
      <c r="IHL186" s="298"/>
      <c r="IHM186" s="298"/>
      <c r="IHN186" s="298"/>
      <c r="IHO186" s="298"/>
      <c r="IHP186" s="298"/>
      <c r="IHQ186" s="298"/>
      <c r="IHR186" s="298"/>
      <c r="IHS186" s="298"/>
      <c r="IHT186" s="298"/>
      <c r="IHU186" s="298"/>
      <c r="IHV186" s="298"/>
      <c r="IHW186" s="298"/>
      <c r="IHX186" s="298"/>
      <c r="IHY186" s="298"/>
      <c r="IHZ186" s="298"/>
      <c r="IIA186" s="298"/>
      <c r="IIB186" s="298"/>
      <c r="IIC186" s="298"/>
      <c r="IID186" s="298"/>
      <c r="IIE186" s="298"/>
      <c r="IIF186" s="298"/>
      <c r="IIG186" s="298"/>
      <c r="IIH186" s="298"/>
      <c r="III186" s="298"/>
      <c r="IIJ186" s="298"/>
      <c r="IIK186" s="298"/>
      <c r="IIL186" s="298"/>
      <c r="IIM186" s="298"/>
      <c r="IIN186" s="298"/>
      <c r="IIO186" s="298"/>
      <c r="IIP186" s="298"/>
      <c r="IIQ186" s="298"/>
      <c r="IIR186" s="298"/>
      <c r="IIS186" s="298"/>
      <c r="IIT186" s="298"/>
      <c r="IIU186" s="298"/>
      <c r="IIV186" s="298"/>
      <c r="IIW186" s="298"/>
      <c r="IIX186" s="298"/>
      <c r="IIY186" s="298"/>
      <c r="IIZ186" s="298"/>
      <c r="IJA186" s="298"/>
      <c r="IJB186" s="298"/>
      <c r="IJC186" s="298"/>
      <c r="IJD186" s="298"/>
      <c r="IJE186" s="298"/>
      <c r="IJF186" s="298"/>
      <c r="IJG186" s="298"/>
      <c r="IJH186" s="298"/>
      <c r="IJI186" s="298"/>
      <c r="IJJ186" s="298"/>
      <c r="IJK186" s="298"/>
      <c r="IJL186" s="298"/>
      <c r="IJM186" s="298"/>
      <c r="IJN186" s="298"/>
      <c r="IJO186" s="298"/>
      <c r="IJP186" s="298"/>
      <c r="IJQ186" s="298"/>
      <c r="IJR186" s="298"/>
      <c r="IJS186" s="298"/>
      <c r="IJT186" s="298"/>
      <c r="IJU186" s="298"/>
      <c r="IJV186" s="298"/>
      <c r="IJW186" s="298"/>
      <c r="IJX186" s="298"/>
      <c r="IJY186" s="298"/>
      <c r="IJZ186" s="298"/>
      <c r="IKA186" s="298"/>
      <c r="IKB186" s="298"/>
      <c r="IKC186" s="298"/>
      <c r="IKD186" s="298"/>
      <c r="IKE186" s="298"/>
      <c r="IKF186" s="298"/>
      <c r="IKG186" s="298"/>
      <c r="IKH186" s="298"/>
      <c r="IKI186" s="298"/>
      <c r="IKJ186" s="298"/>
      <c r="IKK186" s="298"/>
      <c r="IKL186" s="298"/>
      <c r="IKM186" s="298"/>
      <c r="IKN186" s="298"/>
      <c r="IKO186" s="298"/>
      <c r="IKP186" s="298"/>
      <c r="IKQ186" s="298"/>
      <c r="IKR186" s="298"/>
      <c r="IKS186" s="298"/>
      <c r="IKT186" s="298"/>
      <c r="IKU186" s="298"/>
      <c r="IKV186" s="298"/>
      <c r="IKW186" s="298"/>
      <c r="IKX186" s="298"/>
      <c r="IKY186" s="298"/>
      <c r="IKZ186" s="298"/>
      <c r="ILA186" s="298"/>
      <c r="ILB186" s="298"/>
      <c r="ILC186" s="298"/>
      <c r="ILD186" s="298"/>
      <c r="ILE186" s="298"/>
      <c r="ILF186" s="298"/>
      <c r="ILG186" s="298"/>
      <c r="ILH186" s="298"/>
      <c r="ILI186" s="298"/>
      <c r="ILJ186" s="298"/>
      <c r="ILK186" s="298"/>
      <c r="ILL186" s="298"/>
      <c r="ILM186" s="298"/>
      <c r="ILN186" s="298"/>
      <c r="ILO186" s="298"/>
      <c r="ILP186" s="298"/>
      <c r="ILQ186" s="298"/>
      <c r="ILR186" s="298"/>
      <c r="ILS186" s="298"/>
      <c r="ILT186" s="298"/>
      <c r="ILU186" s="298"/>
      <c r="ILV186" s="298"/>
      <c r="ILW186" s="298"/>
      <c r="ILX186" s="298"/>
      <c r="ILY186" s="298"/>
      <c r="ILZ186" s="298"/>
      <c r="IMA186" s="298"/>
      <c r="IMB186" s="298"/>
      <c r="IMC186" s="298"/>
      <c r="IMD186" s="298"/>
      <c r="IME186" s="298"/>
      <c r="IMF186" s="298"/>
      <c r="IMG186" s="298"/>
      <c r="IMH186" s="298"/>
      <c r="IMI186" s="298"/>
      <c r="IMJ186" s="298"/>
      <c r="IMK186" s="298"/>
      <c r="IML186" s="298"/>
      <c r="IMM186" s="298"/>
      <c r="IMN186" s="298"/>
      <c r="IMO186" s="298"/>
      <c r="IMP186" s="298"/>
      <c r="IMQ186" s="298"/>
      <c r="IMR186" s="298"/>
      <c r="IMS186" s="298"/>
      <c r="IMT186" s="298"/>
      <c r="IMU186" s="298"/>
      <c r="IMV186" s="298"/>
      <c r="IMW186" s="298"/>
      <c r="IMX186" s="298"/>
      <c r="IMY186" s="298"/>
      <c r="IMZ186" s="298"/>
      <c r="INA186" s="298"/>
      <c r="INB186" s="298"/>
      <c r="INC186" s="298"/>
      <c r="IND186" s="298"/>
      <c r="INE186" s="298"/>
      <c r="INF186" s="298"/>
      <c r="ING186" s="298"/>
      <c r="INH186" s="298"/>
      <c r="INI186" s="298"/>
      <c r="INJ186" s="298"/>
      <c r="INK186" s="298"/>
      <c r="INL186" s="298"/>
      <c r="INM186" s="298"/>
      <c r="INN186" s="298"/>
      <c r="INO186" s="298"/>
      <c r="INP186" s="298"/>
      <c r="INQ186" s="298"/>
      <c r="INR186" s="298"/>
      <c r="INS186" s="298"/>
      <c r="INT186" s="298"/>
      <c r="INU186" s="298"/>
      <c r="INV186" s="298"/>
      <c r="INW186" s="298"/>
      <c r="INX186" s="298"/>
      <c r="INY186" s="298"/>
      <c r="INZ186" s="298"/>
      <c r="IOA186" s="298"/>
      <c r="IOB186" s="298"/>
      <c r="IOC186" s="298"/>
      <c r="IOD186" s="298"/>
      <c r="IOE186" s="298"/>
      <c r="IOF186" s="298"/>
      <c r="IOG186" s="298"/>
      <c r="IOH186" s="298"/>
      <c r="IOI186" s="298"/>
      <c r="IOJ186" s="298"/>
      <c r="IOK186" s="298"/>
      <c r="IOL186" s="298"/>
      <c r="IOM186" s="298"/>
      <c r="ION186" s="298"/>
      <c r="IOO186" s="298"/>
      <c r="IOP186" s="298"/>
      <c r="IOQ186" s="298"/>
      <c r="IOR186" s="298"/>
      <c r="IOS186" s="298"/>
      <c r="IOT186" s="298"/>
      <c r="IOU186" s="298"/>
      <c r="IOV186" s="298"/>
      <c r="IOW186" s="298"/>
      <c r="IOX186" s="298"/>
      <c r="IOY186" s="298"/>
      <c r="IOZ186" s="298"/>
      <c r="IPA186" s="298"/>
      <c r="IPB186" s="298"/>
      <c r="IPC186" s="298"/>
      <c r="IPD186" s="298"/>
      <c r="IPE186" s="298"/>
      <c r="IPF186" s="298"/>
      <c r="IPG186" s="298"/>
      <c r="IPH186" s="298"/>
      <c r="IPI186" s="298"/>
      <c r="IPJ186" s="298"/>
      <c r="IPK186" s="298"/>
      <c r="IPL186" s="298"/>
      <c r="IPM186" s="298"/>
      <c r="IPN186" s="298"/>
      <c r="IPO186" s="298"/>
      <c r="IPP186" s="298"/>
      <c r="IPQ186" s="298"/>
      <c r="IPR186" s="298"/>
      <c r="IPS186" s="298"/>
      <c r="IPT186" s="298"/>
      <c r="IPU186" s="298"/>
      <c r="IPV186" s="298"/>
      <c r="IPW186" s="298"/>
      <c r="IPX186" s="298"/>
      <c r="IPY186" s="298"/>
      <c r="IPZ186" s="298"/>
      <c r="IQA186" s="298"/>
      <c r="IQB186" s="298"/>
      <c r="IQC186" s="298"/>
      <c r="IQD186" s="298"/>
      <c r="IQE186" s="298"/>
      <c r="IQF186" s="298"/>
      <c r="IQG186" s="298"/>
      <c r="IQH186" s="298"/>
      <c r="IQI186" s="298"/>
      <c r="IQJ186" s="298"/>
      <c r="IQK186" s="298"/>
      <c r="IQL186" s="298"/>
      <c r="IQM186" s="298"/>
      <c r="IQN186" s="298"/>
      <c r="IQO186" s="298"/>
      <c r="IQP186" s="298"/>
      <c r="IQQ186" s="298"/>
      <c r="IQR186" s="298"/>
      <c r="IQS186" s="298"/>
      <c r="IQT186" s="298"/>
      <c r="IQU186" s="298"/>
      <c r="IQV186" s="298"/>
      <c r="IQW186" s="298"/>
      <c r="IQX186" s="298"/>
      <c r="IQY186" s="298"/>
      <c r="IQZ186" s="298"/>
      <c r="IRA186" s="298"/>
      <c r="IRB186" s="298"/>
      <c r="IRC186" s="298"/>
      <c r="IRD186" s="298"/>
      <c r="IRE186" s="298"/>
      <c r="IRF186" s="298"/>
      <c r="IRG186" s="298"/>
      <c r="IRH186" s="298"/>
      <c r="IRI186" s="298"/>
      <c r="IRJ186" s="298"/>
      <c r="IRK186" s="298"/>
      <c r="IRL186" s="298"/>
      <c r="IRM186" s="298"/>
      <c r="IRN186" s="298"/>
      <c r="IRO186" s="298"/>
      <c r="IRP186" s="298"/>
      <c r="IRQ186" s="298"/>
      <c r="IRR186" s="298"/>
      <c r="IRS186" s="298"/>
      <c r="IRT186" s="298"/>
      <c r="IRU186" s="298"/>
      <c r="IRV186" s="298"/>
      <c r="IRW186" s="298"/>
      <c r="IRX186" s="298"/>
      <c r="IRY186" s="298"/>
      <c r="IRZ186" s="298"/>
      <c r="ISA186" s="298"/>
      <c r="ISB186" s="298"/>
      <c r="ISC186" s="298"/>
      <c r="ISD186" s="298"/>
      <c r="ISE186" s="298"/>
      <c r="ISF186" s="298"/>
      <c r="ISG186" s="298"/>
      <c r="ISH186" s="298"/>
      <c r="ISI186" s="298"/>
      <c r="ISJ186" s="298"/>
      <c r="ISK186" s="298"/>
      <c r="ISL186" s="298"/>
      <c r="ISM186" s="298"/>
      <c r="ISN186" s="298"/>
      <c r="ISO186" s="298"/>
      <c r="ISP186" s="298"/>
      <c r="ISQ186" s="298"/>
      <c r="ISR186" s="298"/>
      <c r="ISS186" s="298"/>
      <c r="IST186" s="298"/>
      <c r="ISU186" s="298"/>
      <c r="ISV186" s="298"/>
      <c r="ISW186" s="298"/>
      <c r="ISX186" s="298"/>
      <c r="ISY186" s="298"/>
      <c r="ISZ186" s="298"/>
      <c r="ITA186" s="298"/>
      <c r="ITB186" s="298"/>
      <c r="ITC186" s="298"/>
      <c r="ITD186" s="298"/>
      <c r="ITE186" s="298"/>
      <c r="ITF186" s="298"/>
      <c r="ITG186" s="298"/>
      <c r="ITH186" s="298"/>
      <c r="ITI186" s="298"/>
      <c r="ITJ186" s="298"/>
      <c r="ITK186" s="298"/>
      <c r="ITL186" s="298"/>
      <c r="ITM186" s="298"/>
      <c r="ITN186" s="298"/>
      <c r="ITO186" s="298"/>
      <c r="ITP186" s="298"/>
      <c r="ITQ186" s="298"/>
      <c r="ITR186" s="298"/>
      <c r="ITS186" s="298"/>
      <c r="ITT186" s="298"/>
      <c r="ITU186" s="298"/>
      <c r="ITV186" s="298"/>
      <c r="ITW186" s="298"/>
      <c r="ITX186" s="298"/>
      <c r="ITY186" s="298"/>
      <c r="ITZ186" s="298"/>
      <c r="IUA186" s="298"/>
      <c r="IUB186" s="298"/>
      <c r="IUC186" s="298"/>
      <c r="IUD186" s="298"/>
      <c r="IUE186" s="298"/>
      <c r="IUF186" s="298"/>
      <c r="IUG186" s="298"/>
      <c r="IUH186" s="298"/>
      <c r="IUI186" s="298"/>
      <c r="IUJ186" s="298"/>
      <c r="IUK186" s="298"/>
      <c r="IUL186" s="298"/>
      <c r="IUM186" s="298"/>
      <c r="IUN186" s="298"/>
      <c r="IUO186" s="298"/>
      <c r="IUP186" s="298"/>
      <c r="IUQ186" s="298"/>
      <c r="IUR186" s="298"/>
      <c r="IUS186" s="298"/>
      <c r="IUT186" s="298"/>
      <c r="IUU186" s="298"/>
      <c r="IUV186" s="298"/>
      <c r="IUW186" s="298"/>
      <c r="IUX186" s="298"/>
      <c r="IUY186" s="298"/>
      <c r="IUZ186" s="298"/>
      <c r="IVA186" s="298"/>
      <c r="IVB186" s="298"/>
      <c r="IVC186" s="298"/>
      <c r="IVD186" s="298"/>
      <c r="IVE186" s="298"/>
      <c r="IVF186" s="298"/>
      <c r="IVG186" s="298"/>
      <c r="IVH186" s="298"/>
      <c r="IVI186" s="298"/>
      <c r="IVJ186" s="298"/>
      <c r="IVK186" s="298"/>
      <c r="IVL186" s="298"/>
      <c r="IVM186" s="298"/>
      <c r="IVN186" s="298"/>
      <c r="IVO186" s="298"/>
      <c r="IVP186" s="298"/>
      <c r="IVQ186" s="298"/>
      <c r="IVR186" s="298"/>
      <c r="IVS186" s="298"/>
      <c r="IVT186" s="298"/>
      <c r="IVU186" s="298"/>
      <c r="IVV186" s="298"/>
      <c r="IVW186" s="298"/>
      <c r="IVX186" s="298"/>
      <c r="IVY186" s="298"/>
      <c r="IVZ186" s="298"/>
      <c r="IWA186" s="298"/>
      <c r="IWB186" s="298"/>
      <c r="IWC186" s="298"/>
      <c r="IWD186" s="298"/>
      <c r="IWE186" s="298"/>
      <c r="IWF186" s="298"/>
      <c r="IWG186" s="298"/>
      <c r="IWH186" s="298"/>
      <c r="IWI186" s="298"/>
      <c r="IWJ186" s="298"/>
      <c r="IWK186" s="298"/>
      <c r="IWL186" s="298"/>
      <c r="IWM186" s="298"/>
      <c r="IWN186" s="298"/>
      <c r="IWO186" s="298"/>
      <c r="IWP186" s="298"/>
      <c r="IWQ186" s="298"/>
      <c r="IWR186" s="298"/>
      <c r="IWS186" s="298"/>
      <c r="IWT186" s="298"/>
      <c r="IWU186" s="298"/>
      <c r="IWV186" s="298"/>
      <c r="IWW186" s="298"/>
      <c r="IWX186" s="298"/>
      <c r="IWY186" s="298"/>
      <c r="IWZ186" s="298"/>
      <c r="IXA186" s="298"/>
      <c r="IXB186" s="298"/>
      <c r="IXC186" s="298"/>
      <c r="IXD186" s="298"/>
      <c r="IXE186" s="298"/>
      <c r="IXF186" s="298"/>
      <c r="IXG186" s="298"/>
      <c r="IXH186" s="298"/>
      <c r="IXI186" s="298"/>
      <c r="IXJ186" s="298"/>
      <c r="IXK186" s="298"/>
      <c r="IXL186" s="298"/>
      <c r="IXM186" s="298"/>
      <c r="IXN186" s="298"/>
      <c r="IXO186" s="298"/>
      <c r="IXP186" s="298"/>
      <c r="IXQ186" s="298"/>
      <c r="IXR186" s="298"/>
      <c r="IXS186" s="298"/>
      <c r="IXT186" s="298"/>
      <c r="IXU186" s="298"/>
      <c r="IXV186" s="298"/>
      <c r="IXW186" s="298"/>
      <c r="IXX186" s="298"/>
      <c r="IXY186" s="298"/>
      <c r="IXZ186" s="298"/>
      <c r="IYA186" s="298"/>
      <c r="IYB186" s="298"/>
      <c r="IYC186" s="298"/>
      <c r="IYD186" s="298"/>
      <c r="IYE186" s="298"/>
      <c r="IYF186" s="298"/>
      <c r="IYG186" s="298"/>
      <c r="IYH186" s="298"/>
      <c r="IYI186" s="298"/>
      <c r="IYJ186" s="298"/>
      <c r="IYK186" s="298"/>
      <c r="IYL186" s="298"/>
      <c r="IYM186" s="298"/>
      <c r="IYN186" s="298"/>
      <c r="IYO186" s="298"/>
      <c r="IYP186" s="298"/>
      <c r="IYQ186" s="298"/>
      <c r="IYR186" s="298"/>
      <c r="IYS186" s="298"/>
      <c r="IYT186" s="298"/>
      <c r="IYU186" s="298"/>
      <c r="IYV186" s="298"/>
      <c r="IYW186" s="298"/>
      <c r="IYX186" s="298"/>
      <c r="IYY186" s="298"/>
      <c r="IYZ186" s="298"/>
      <c r="IZA186" s="298"/>
      <c r="IZB186" s="298"/>
      <c r="IZC186" s="298"/>
      <c r="IZD186" s="298"/>
      <c r="IZE186" s="298"/>
      <c r="IZF186" s="298"/>
      <c r="IZG186" s="298"/>
      <c r="IZH186" s="298"/>
      <c r="IZI186" s="298"/>
      <c r="IZJ186" s="298"/>
      <c r="IZK186" s="298"/>
      <c r="IZL186" s="298"/>
      <c r="IZM186" s="298"/>
      <c r="IZN186" s="298"/>
      <c r="IZO186" s="298"/>
      <c r="IZP186" s="298"/>
      <c r="IZQ186" s="298"/>
      <c r="IZR186" s="298"/>
      <c r="IZS186" s="298"/>
      <c r="IZT186" s="298"/>
      <c r="IZU186" s="298"/>
      <c r="IZV186" s="298"/>
      <c r="IZW186" s="298"/>
      <c r="IZX186" s="298"/>
      <c r="IZY186" s="298"/>
      <c r="IZZ186" s="298"/>
      <c r="JAA186" s="298"/>
      <c r="JAB186" s="298"/>
      <c r="JAC186" s="298"/>
      <c r="JAD186" s="298"/>
      <c r="JAE186" s="298"/>
      <c r="JAF186" s="298"/>
      <c r="JAG186" s="298"/>
      <c r="JAH186" s="298"/>
      <c r="JAI186" s="298"/>
      <c r="JAJ186" s="298"/>
      <c r="JAK186" s="298"/>
      <c r="JAL186" s="298"/>
      <c r="JAM186" s="298"/>
      <c r="JAN186" s="298"/>
      <c r="JAO186" s="298"/>
      <c r="JAP186" s="298"/>
      <c r="JAQ186" s="298"/>
      <c r="JAR186" s="298"/>
      <c r="JAS186" s="298"/>
      <c r="JAT186" s="298"/>
      <c r="JAU186" s="298"/>
      <c r="JAV186" s="298"/>
      <c r="JAW186" s="298"/>
      <c r="JAX186" s="298"/>
      <c r="JAY186" s="298"/>
      <c r="JAZ186" s="298"/>
      <c r="JBA186" s="298"/>
      <c r="JBB186" s="298"/>
      <c r="JBC186" s="298"/>
      <c r="JBD186" s="298"/>
      <c r="JBE186" s="298"/>
      <c r="JBF186" s="298"/>
      <c r="JBG186" s="298"/>
      <c r="JBH186" s="298"/>
      <c r="JBI186" s="298"/>
      <c r="JBJ186" s="298"/>
      <c r="JBK186" s="298"/>
      <c r="JBL186" s="298"/>
      <c r="JBM186" s="298"/>
      <c r="JBN186" s="298"/>
      <c r="JBO186" s="298"/>
      <c r="JBP186" s="298"/>
      <c r="JBQ186" s="298"/>
      <c r="JBR186" s="298"/>
      <c r="JBS186" s="298"/>
      <c r="JBT186" s="298"/>
      <c r="JBU186" s="298"/>
      <c r="JBV186" s="298"/>
      <c r="JBW186" s="298"/>
      <c r="JBX186" s="298"/>
      <c r="JBY186" s="298"/>
      <c r="JBZ186" s="298"/>
      <c r="JCA186" s="298"/>
      <c r="JCB186" s="298"/>
      <c r="JCC186" s="298"/>
      <c r="JCD186" s="298"/>
      <c r="JCE186" s="298"/>
      <c r="JCF186" s="298"/>
      <c r="JCG186" s="298"/>
      <c r="JCH186" s="298"/>
      <c r="JCI186" s="298"/>
      <c r="JCJ186" s="298"/>
      <c r="JCK186" s="298"/>
      <c r="JCL186" s="298"/>
      <c r="JCM186" s="298"/>
      <c r="JCN186" s="298"/>
      <c r="JCO186" s="298"/>
      <c r="JCP186" s="298"/>
      <c r="JCQ186" s="298"/>
      <c r="JCR186" s="298"/>
      <c r="JCS186" s="298"/>
      <c r="JCT186" s="298"/>
      <c r="JCU186" s="298"/>
      <c r="JCV186" s="298"/>
      <c r="JCW186" s="298"/>
      <c r="JCX186" s="298"/>
      <c r="JCY186" s="298"/>
      <c r="JCZ186" s="298"/>
      <c r="JDA186" s="298"/>
      <c r="JDB186" s="298"/>
      <c r="JDC186" s="298"/>
      <c r="JDD186" s="298"/>
      <c r="JDE186" s="298"/>
      <c r="JDF186" s="298"/>
      <c r="JDG186" s="298"/>
      <c r="JDH186" s="298"/>
      <c r="JDI186" s="298"/>
      <c r="JDJ186" s="298"/>
      <c r="JDK186" s="298"/>
      <c r="JDL186" s="298"/>
      <c r="JDM186" s="298"/>
      <c r="JDN186" s="298"/>
      <c r="JDO186" s="298"/>
      <c r="JDP186" s="298"/>
      <c r="JDQ186" s="298"/>
      <c r="JDR186" s="298"/>
      <c r="JDS186" s="298"/>
      <c r="JDT186" s="298"/>
      <c r="JDU186" s="298"/>
      <c r="JDV186" s="298"/>
      <c r="JDW186" s="298"/>
      <c r="JDX186" s="298"/>
      <c r="JDY186" s="298"/>
      <c r="JDZ186" s="298"/>
      <c r="JEA186" s="298"/>
      <c r="JEB186" s="298"/>
      <c r="JEC186" s="298"/>
      <c r="JED186" s="298"/>
      <c r="JEE186" s="298"/>
      <c r="JEF186" s="298"/>
      <c r="JEG186" s="298"/>
      <c r="JEH186" s="298"/>
      <c r="JEI186" s="298"/>
      <c r="JEJ186" s="298"/>
      <c r="JEK186" s="298"/>
      <c r="JEL186" s="298"/>
      <c r="JEM186" s="298"/>
      <c r="JEN186" s="298"/>
      <c r="JEO186" s="298"/>
      <c r="JEP186" s="298"/>
      <c r="JEQ186" s="298"/>
      <c r="JER186" s="298"/>
      <c r="JES186" s="298"/>
      <c r="JET186" s="298"/>
      <c r="JEU186" s="298"/>
      <c r="JEV186" s="298"/>
      <c r="JEW186" s="298"/>
      <c r="JEX186" s="298"/>
      <c r="JEY186" s="298"/>
      <c r="JEZ186" s="298"/>
      <c r="JFA186" s="298"/>
      <c r="JFB186" s="298"/>
      <c r="JFC186" s="298"/>
      <c r="JFD186" s="298"/>
      <c r="JFE186" s="298"/>
      <c r="JFF186" s="298"/>
      <c r="JFG186" s="298"/>
      <c r="JFH186" s="298"/>
      <c r="JFI186" s="298"/>
      <c r="JFJ186" s="298"/>
      <c r="JFK186" s="298"/>
      <c r="JFL186" s="298"/>
      <c r="JFM186" s="298"/>
      <c r="JFN186" s="298"/>
      <c r="JFO186" s="298"/>
      <c r="JFP186" s="298"/>
      <c r="JFQ186" s="298"/>
      <c r="JFR186" s="298"/>
      <c r="JFS186" s="298"/>
      <c r="JFT186" s="298"/>
      <c r="JFU186" s="298"/>
      <c r="JFV186" s="298"/>
      <c r="JFW186" s="298"/>
      <c r="JFX186" s="298"/>
      <c r="JFY186" s="298"/>
      <c r="JFZ186" s="298"/>
      <c r="JGA186" s="298"/>
      <c r="JGB186" s="298"/>
      <c r="JGC186" s="298"/>
      <c r="JGD186" s="298"/>
      <c r="JGE186" s="298"/>
      <c r="JGF186" s="298"/>
      <c r="JGG186" s="298"/>
      <c r="JGH186" s="298"/>
      <c r="JGI186" s="298"/>
      <c r="JGJ186" s="298"/>
      <c r="JGK186" s="298"/>
      <c r="JGL186" s="298"/>
      <c r="JGM186" s="298"/>
      <c r="JGN186" s="298"/>
      <c r="JGO186" s="298"/>
      <c r="JGP186" s="298"/>
      <c r="JGQ186" s="298"/>
      <c r="JGR186" s="298"/>
      <c r="JGS186" s="298"/>
      <c r="JGT186" s="298"/>
      <c r="JGU186" s="298"/>
      <c r="JGV186" s="298"/>
      <c r="JGW186" s="298"/>
      <c r="JGX186" s="298"/>
      <c r="JGY186" s="298"/>
      <c r="JGZ186" s="298"/>
      <c r="JHA186" s="298"/>
      <c r="JHB186" s="298"/>
      <c r="JHC186" s="298"/>
      <c r="JHD186" s="298"/>
      <c r="JHE186" s="298"/>
      <c r="JHF186" s="298"/>
      <c r="JHG186" s="298"/>
      <c r="JHH186" s="298"/>
      <c r="JHI186" s="298"/>
      <c r="JHJ186" s="298"/>
      <c r="JHK186" s="298"/>
      <c r="JHL186" s="298"/>
      <c r="JHM186" s="298"/>
      <c r="JHN186" s="298"/>
      <c r="JHO186" s="298"/>
      <c r="JHP186" s="298"/>
      <c r="JHQ186" s="298"/>
      <c r="JHR186" s="298"/>
      <c r="JHS186" s="298"/>
      <c r="JHT186" s="298"/>
      <c r="JHU186" s="298"/>
      <c r="JHV186" s="298"/>
      <c r="JHW186" s="298"/>
      <c r="JHX186" s="298"/>
      <c r="JHY186" s="298"/>
      <c r="JHZ186" s="298"/>
      <c r="JIA186" s="298"/>
      <c r="JIB186" s="298"/>
      <c r="JIC186" s="298"/>
      <c r="JID186" s="298"/>
      <c r="JIE186" s="298"/>
      <c r="JIF186" s="298"/>
      <c r="JIG186" s="298"/>
      <c r="JIH186" s="298"/>
      <c r="JII186" s="298"/>
      <c r="JIJ186" s="298"/>
      <c r="JIK186" s="298"/>
      <c r="JIL186" s="298"/>
      <c r="JIM186" s="298"/>
      <c r="JIN186" s="298"/>
      <c r="JIO186" s="298"/>
      <c r="JIP186" s="298"/>
      <c r="JIQ186" s="298"/>
      <c r="JIR186" s="298"/>
      <c r="JIS186" s="298"/>
      <c r="JIT186" s="298"/>
      <c r="JIU186" s="298"/>
      <c r="JIV186" s="298"/>
      <c r="JIW186" s="298"/>
      <c r="JIX186" s="298"/>
      <c r="JIY186" s="298"/>
      <c r="JIZ186" s="298"/>
      <c r="JJA186" s="298"/>
      <c r="JJB186" s="298"/>
      <c r="JJC186" s="298"/>
      <c r="JJD186" s="298"/>
      <c r="JJE186" s="298"/>
      <c r="JJF186" s="298"/>
      <c r="JJG186" s="298"/>
      <c r="JJH186" s="298"/>
      <c r="JJI186" s="298"/>
      <c r="JJJ186" s="298"/>
      <c r="JJK186" s="298"/>
      <c r="JJL186" s="298"/>
      <c r="JJM186" s="298"/>
      <c r="JJN186" s="298"/>
      <c r="JJO186" s="298"/>
      <c r="JJP186" s="298"/>
      <c r="JJQ186" s="298"/>
      <c r="JJR186" s="298"/>
      <c r="JJS186" s="298"/>
      <c r="JJT186" s="298"/>
      <c r="JJU186" s="298"/>
      <c r="JJV186" s="298"/>
      <c r="JJW186" s="298"/>
      <c r="JJX186" s="298"/>
      <c r="JJY186" s="298"/>
      <c r="JJZ186" s="298"/>
      <c r="JKA186" s="298"/>
      <c r="JKB186" s="298"/>
      <c r="JKC186" s="298"/>
      <c r="JKD186" s="298"/>
      <c r="JKE186" s="298"/>
      <c r="JKF186" s="298"/>
      <c r="JKG186" s="298"/>
      <c r="JKH186" s="298"/>
      <c r="JKI186" s="298"/>
      <c r="JKJ186" s="298"/>
      <c r="JKK186" s="298"/>
      <c r="JKL186" s="298"/>
      <c r="JKM186" s="298"/>
      <c r="JKN186" s="298"/>
      <c r="JKO186" s="298"/>
      <c r="JKP186" s="298"/>
      <c r="JKQ186" s="298"/>
      <c r="JKR186" s="298"/>
      <c r="JKS186" s="298"/>
      <c r="JKT186" s="298"/>
      <c r="JKU186" s="298"/>
      <c r="JKV186" s="298"/>
      <c r="JKW186" s="298"/>
      <c r="JKX186" s="298"/>
      <c r="JKY186" s="298"/>
      <c r="JKZ186" s="298"/>
      <c r="JLA186" s="298"/>
      <c r="JLB186" s="298"/>
      <c r="JLC186" s="298"/>
      <c r="JLD186" s="298"/>
      <c r="JLE186" s="298"/>
      <c r="JLF186" s="298"/>
      <c r="JLG186" s="298"/>
      <c r="JLH186" s="298"/>
      <c r="JLI186" s="298"/>
      <c r="JLJ186" s="298"/>
      <c r="JLK186" s="298"/>
      <c r="JLL186" s="298"/>
      <c r="JLM186" s="298"/>
      <c r="JLN186" s="298"/>
      <c r="JLO186" s="298"/>
      <c r="JLP186" s="298"/>
      <c r="JLQ186" s="298"/>
      <c r="JLR186" s="298"/>
      <c r="JLS186" s="298"/>
      <c r="JLT186" s="298"/>
      <c r="JLU186" s="298"/>
      <c r="JLV186" s="298"/>
      <c r="JLW186" s="298"/>
      <c r="JLX186" s="298"/>
      <c r="JLY186" s="298"/>
      <c r="JLZ186" s="298"/>
      <c r="JMA186" s="298"/>
      <c r="JMB186" s="298"/>
      <c r="JMC186" s="298"/>
      <c r="JMD186" s="298"/>
      <c r="JME186" s="298"/>
      <c r="JMF186" s="298"/>
      <c r="JMG186" s="298"/>
      <c r="JMH186" s="298"/>
      <c r="JMI186" s="298"/>
      <c r="JMJ186" s="298"/>
      <c r="JMK186" s="298"/>
      <c r="JML186" s="298"/>
      <c r="JMM186" s="298"/>
      <c r="JMN186" s="298"/>
      <c r="JMO186" s="298"/>
      <c r="JMP186" s="298"/>
      <c r="JMQ186" s="298"/>
      <c r="JMR186" s="298"/>
      <c r="JMS186" s="298"/>
      <c r="JMT186" s="298"/>
      <c r="JMU186" s="298"/>
      <c r="JMV186" s="298"/>
      <c r="JMW186" s="298"/>
      <c r="JMX186" s="298"/>
      <c r="JMY186" s="298"/>
      <c r="JMZ186" s="298"/>
      <c r="JNA186" s="298"/>
      <c r="JNB186" s="298"/>
      <c r="JNC186" s="298"/>
      <c r="JND186" s="298"/>
      <c r="JNE186" s="298"/>
      <c r="JNF186" s="298"/>
      <c r="JNG186" s="298"/>
      <c r="JNH186" s="298"/>
      <c r="JNI186" s="298"/>
      <c r="JNJ186" s="298"/>
      <c r="JNK186" s="298"/>
      <c r="JNL186" s="298"/>
      <c r="JNM186" s="298"/>
      <c r="JNN186" s="298"/>
      <c r="JNO186" s="298"/>
      <c r="JNP186" s="298"/>
      <c r="JNQ186" s="298"/>
      <c r="JNR186" s="298"/>
      <c r="JNS186" s="298"/>
      <c r="JNT186" s="298"/>
      <c r="JNU186" s="298"/>
      <c r="JNV186" s="298"/>
      <c r="JNW186" s="298"/>
      <c r="JNX186" s="298"/>
      <c r="JNY186" s="298"/>
      <c r="JNZ186" s="298"/>
      <c r="JOA186" s="298"/>
      <c r="JOB186" s="298"/>
      <c r="JOC186" s="298"/>
      <c r="JOD186" s="298"/>
      <c r="JOE186" s="298"/>
      <c r="JOF186" s="298"/>
      <c r="JOG186" s="298"/>
      <c r="JOH186" s="298"/>
      <c r="JOI186" s="298"/>
      <c r="JOJ186" s="298"/>
      <c r="JOK186" s="298"/>
      <c r="JOL186" s="298"/>
      <c r="JOM186" s="298"/>
      <c r="JON186" s="298"/>
      <c r="JOO186" s="298"/>
      <c r="JOP186" s="298"/>
      <c r="JOQ186" s="298"/>
      <c r="JOR186" s="298"/>
      <c r="JOS186" s="298"/>
      <c r="JOT186" s="298"/>
      <c r="JOU186" s="298"/>
      <c r="JOV186" s="298"/>
      <c r="JOW186" s="298"/>
      <c r="JOX186" s="298"/>
      <c r="JOY186" s="298"/>
      <c r="JOZ186" s="298"/>
      <c r="JPA186" s="298"/>
      <c r="JPB186" s="298"/>
      <c r="JPC186" s="298"/>
      <c r="JPD186" s="298"/>
      <c r="JPE186" s="298"/>
      <c r="JPF186" s="298"/>
      <c r="JPG186" s="298"/>
      <c r="JPH186" s="298"/>
      <c r="JPI186" s="298"/>
      <c r="JPJ186" s="298"/>
      <c r="JPK186" s="298"/>
      <c r="JPL186" s="298"/>
      <c r="JPM186" s="298"/>
      <c r="JPN186" s="298"/>
      <c r="JPO186" s="298"/>
      <c r="JPP186" s="298"/>
      <c r="JPQ186" s="298"/>
      <c r="JPR186" s="298"/>
      <c r="JPS186" s="298"/>
      <c r="JPT186" s="298"/>
      <c r="JPU186" s="298"/>
      <c r="JPV186" s="298"/>
      <c r="JPW186" s="298"/>
      <c r="JPX186" s="298"/>
      <c r="JPY186" s="298"/>
      <c r="JPZ186" s="298"/>
      <c r="JQA186" s="298"/>
      <c r="JQB186" s="298"/>
      <c r="JQC186" s="298"/>
      <c r="JQD186" s="298"/>
      <c r="JQE186" s="298"/>
      <c r="JQF186" s="298"/>
      <c r="JQG186" s="298"/>
      <c r="JQH186" s="298"/>
      <c r="JQI186" s="298"/>
      <c r="JQJ186" s="298"/>
      <c r="JQK186" s="298"/>
      <c r="JQL186" s="298"/>
      <c r="JQM186" s="298"/>
      <c r="JQN186" s="298"/>
      <c r="JQO186" s="298"/>
      <c r="JQP186" s="298"/>
      <c r="JQQ186" s="298"/>
      <c r="JQR186" s="298"/>
      <c r="JQS186" s="298"/>
      <c r="JQT186" s="298"/>
      <c r="JQU186" s="298"/>
      <c r="JQV186" s="298"/>
      <c r="JQW186" s="298"/>
      <c r="JQX186" s="298"/>
      <c r="JQY186" s="298"/>
      <c r="JQZ186" s="298"/>
      <c r="JRA186" s="298"/>
      <c r="JRB186" s="298"/>
      <c r="JRC186" s="298"/>
      <c r="JRD186" s="298"/>
      <c r="JRE186" s="298"/>
      <c r="JRF186" s="298"/>
      <c r="JRG186" s="298"/>
      <c r="JRH186" s="298"/>
      <c r="JRI186" s="298"/>
      <c r="JRJ186" s="298"/>
      <c r="JRK186" s="298"/>
      <c r="JRL186" s="298"/>
      <c r="JRM186" s="298"/>
      <c r="JRN186" s="298"/>
      <c r="JRO186" s="298"/>
      <c r="JRP186" s="298"/>
      <c r="JRQ186" s="298"/>
      <c r="JRR186" s="298"/>
      <c r="JRS186" s="298"/>
      <c r="JRT186" s="298"/>
      <c r="JRU186" s="298"/>
      <c r="JRV186" s="298"/>
      <c r="JRW186" s="298"/>
      <c r="JRX186" s="298"/>
      <c r="JRY186" s="298"/>
      <c r="JRZ186" s="298"/>
      <c r="JSA186" s="298"/>
      <c r="JSB186" s="298"/>
      <c r="JSC186" s="298"/>
      <c r="JSD186" s="298"/>
      <c r="JSE186" s="298"/>
      <c r="JSF186" s="298"/>
      <c r="JSG186" s="298"/>
      <c r="JSH186" s="298"/>
      <c r="JSI186" s="298"/>
      <c r="JSJ186" s="298"/>
      <c r="JSK186" s="298"/>
      <c r="JSL186" s="298"/>
      <c r="JSM186" s="298"/>
      <c r="JSN186" s="298"/>
      <c r="JSO186" s="298"/>
      <c r="JSP186" s="298"/>
      <c r="JSQ186" s="298"/>
      <c r="JSR186" s="298"/>
      <c r="JSS186" s="298"/>
      <c r="JST186" s="298"/>
      <c r="JSU186" s="298"/>
      <c r="JSV186" s="298"/>
      <c r="JSW186" s="298"/>
      <c r="JSX186" s="298"/>
      <c r="JSY186" s="298"/>
      <c r="JSZ186" s="298"/>
      <c r="JTA186" s="298"/>
      <c r="JTB186" s="298"/>
      <c r="JTC186" s="298"/>
      <c r="JTD186" s="298"/>
      <c r="JTE186" s="298"/>
      <c r="JTF186" s="298"/>
      <c r="JTG186" s="298"/>
      <c r="JTH186" s="298"/>
      <c r="JTI186" s="298"/>
      <c r="JTJ186" s="298"/>
      <c r="JTK186" s="298"/>
      <c r="JTL186" s="298"/>
      <c r="JTM186" s="298"/>
      <c r="JTN186" s="298"/>
      <c r="JTO186" s="298"/>
      <c r="JTP186" s="298"/>
      <c r="JTQ186" s="298"/>
      <c r="JTR186" s="298"/>
      <c r="JTS186" s="298"/>
      <c r="JTT186" s="298"/>
      <c r="JTU186" s="298"/>
      <c r="JTV186" s="298"/>
      <c r="JTW186" s="298"/>
      <c r="JTX186" s="298"/>
      <c r="JTY186" s="298"/>
      <c r="JTZ186" s="298"/>
      <c r="JUA186" s="298"/>
      <c r="JUB186" s="298"/>
      <c r="JUC186" s="298"/>
      <c r="JUD186" s="298"/>
      <c r="JUE186" s="298"/>
      <c r="JUF186" s="298"/>
      <c r="JUG186" s="298"/>
      <c r="JUH186" s="298"/>
      <c r="JUI186" s="298"/>
      <c r="JUJ186" s="298"/>
      <c r="JUK186" s="298"/>
      <c r="JUL186" s="298"/>
      <c r="JUM186" s="298"/>
      <c r="JUN186" s="298"/>
      <c r="JUO186" s="298"/>
      <c r="JUP186" s="298"/>
      <c r="JUQ186" s="298"/>
      <c r="JUR186" s="298"/>
      <c r="JUS186" s="298"/>
      <c r="JUT186" s="298"/>
      <c r="JUU186" s="298"/>
      <c r="JUV186" s="298"/>
      <c r="JUW186" s="298"/>
      <c r="JUX186" s="298"/>
      <c r="JUY186" s="298"/>
      <c r="JUZ186" s="298"/>
      <c r="JVA186" s="298"/>
      <c r="JVB186" s="298"/>
      <c r="JVC186" s="298"/>
      <c r="JVD186" s="298"/>
      <c r="JVE186" s="298"/>
      <c r="JVF186" s="298"/>
      <c r="JVG186" s="298"/>
      <c r="JVH186" s="298"/>
      <c r="JVI186" s="298"/>
      <c r="JVJ186" s="298"/>
      <c r="JVK186" s="298"/>
      <c r="JVL186" s="298"/>
      <c r="JVM186" s="298"/>
      <c r="JVN186" s="298"/>
      <c r="JVO186" s="298"/>
      <c r="JVP186" s="298"/>
      <c r="JVQ186" s="298"/>
      <c r="JVR186" s="298"/>
      <c r="JVS186" s="298"/>
      <c r="JVT186" s="298"/>
      <c r="JVU186" s="298"/>
      <c r="JVV186" s="298"/>
      <c r="JVW186" s="298"/>
      <c r="JVX186" s="298"/>
      <c r="JVY186" s="298"/>
      <c r="JVZ186" s="298"/>
      <c r="JWA186" s="298"/>
      <c r="JWB186" s="298"/>
      <c r="JWC186" s="298"/>
      <c r="JWD186" s="298"/>
      <c r="JWE186" s="298"/>
      <c r="JWF186" s="298"/>
      <c r="JWG186" s="298"/>
      <c r="JWH186" s="298"/>
      <c r="JWI186" s="298"/>
      <c r="JWJ186" s="298"/>
      <c r="JWK186" s="298"/>
      <c r="JWL186" s="298"/>
      <c r="JWM186" s="298"/>
      <c r="JWN186" s="298"/>
      <c r="JWO186" s="298"/>
      <c r="JWP186" s="298"/>
      <c r="JWQ186" s="298"/>
      <c r="JWR186" s="298"/>
      <c r="JWS186" s="298"/>
      <c r="JWT186" s="298"/>
      <c r="JWU186" s="298"/>
      <c r="JWV186" s="298"/>
      <c r="JWW186" s="298"/>
      <c r="JWX186" s="298"/>
      <c r="JWY186" s="298"/>
      <c r="JWZ186" s="298"/>
      <c r="JXA186" s="298"/>
      <c r="JXB186" s="298"/>
      <c r="JXC186" s="298"/>
      <c r="JXD186" s="298"/>
      <c r="JXE186" s="298"/>
      <c r="JXF186" s="298"/>
      <c r="JXG186" s="298"/>
      <c r="JXH186" s="298"/>
      <c r="JXI186" s="298"/>
      <c r="JXJ186" s="298"/>
      <c r="JXK186" s="298"/>
      <c r="JXL186" s="298"/>
      <c r="JXM186" s="298"/>
      <c r="JXN186" s="298"/>
      <c r="JXO186" s="298"/>
      <c r="JXP186" s="298"/>
      <c r="JXQ186" s="298"/>
      <c r="JXR186" s="298"/>
      <c r="JXS186" s="298"/>
      <c r="JXT186" s="298"/>
      <c r="JXU186" s="298"/>
      <c r="JXV186" s="298"/>
      <c r="JXW186" s="298"/>
      <c r="JXX186" s="298"/>
      <c r="JXY186" s="298"/>
      <c r="JXZ186" s="298"/>
      <c r="JYA186" s="298"/>
      <c r="JYB186" s="298"/>
      <c r="JYC186" s="298"/>
      <c r="JYD186" s="298"/>
      <c r="JYE186" s="298"/>
      <c r="JYF186" s="298"/>
      <c r="JYG186" s="298"/>
      <c r="JYH186" s="298"/>
      <c r="JYI186" s="298"/>
      <c r="JYJ186" s="298"/>
      <c r="JYK186" s="298"/>
      <c r="JYL186" s="298"/>
      <c r="JYM186" s="298"/>
      <c r="JYN186" s="298"/>
      <c r="JYO186" s="298"/>
      <c r="JYP186" s="298"/>
      <c r="JYQ186" s="298"/>
      <c r="JYR186" s="298"/>
      <c r="JYS186" s="298"/>
      <c r="JYT186" s="298"/>
      <c r="JYU186" s="298"/>
      <c r="JYV186" s="298"/>
      <c r="JYW186" s="298"/>
      <c r="JYX186" s="298"/>
      <c r="JYY186" s="298"/>
      <c r="JYZ186" s="298"/>
      <c r="JZA186" s="298"/>
      <c r="JZB186" s="298"/>
      <c r="JZC186" s="298"/>
      <c r="JZD186" s="298"/>
      <c r="JZE186" s="298"/>
      <c r="JZF186" s="298"/>
      <c r="JZG186" s="298"/>
      <c r="JZH186" s="298"/>
      <c r="JZI186" s="298"/>
      <c r="JZJ186" s="298"/>
      <c r="JZK186" s="298"/>
      <c r="JZL186" s="298"/>
      <c r="JZM186" s="298"/>
      <c r="JZN186" s="298"/>
      <c r="JZO186" s="298"/>
      <c r="JZP186" s="298"/>
      <c r="JZQ186" s="298"/>
      <c r="JZR186" s="298"/>
      <c r="JZS186" s="298"/>
      <c r="JZT186" s="298"/>
      <c r="JZU186" s="298"/>
      <c r="JZV186" s="298"/>
      <c r="JZW186" s="298"/>
      <c r="JZX186" s="298"/>
      <c r="JZY186" s="298"/>
      <c r="JZZ186" s="298"/>
      <c r="KAA186" s="298"/>
      <c r="KAB186" s="298"/>
      <c r="KAC186" s="298"/>
      <c r="KAD186" s="298"/>
      <c r="KAE186" s="298"/>
      <c r="KAF186" s="298"/>
      <c r="KAG186" s="298"/>
      <c r="KAH186" s="298"/>
      <c r="KAI186" s="298"/>
      <c r="KAJ186" s="298"/>
      <c r="KAK186" s="298"/>
      <c r="KAL186" s="298"/>
      <c r="KAM186" s="298"/>
      <c r="KAN186" s="298"/>
      <c r="KAO186" s="298"/>
      <c r="KAP186" s="298"/>
      <c r="KAQ186" s="298"/>
      <c r="KAR186" s="298"/>
      <c r="KAS186" s="298"/>
      <c r="KAT186" s="298"/>
      <c r="KAU186" s="298"/>
      <c r="KAV186" s="298"/>
      <c r="KAW186" s="298"/>
      <c r="KAX186" s="298"/>
      <c r="KAY186" s="298"/>
      <c r="KAZ186" s="298"/>
      <c r="KBA186" s="298"/>
      <c r="KBB186" s="298"/>
      <c r="KBC186" s="298"/>
      <c r="KBD186" s="298"/>
      <c r="KBE186" s="298"/>
      <c r="KBF186" s="298"/>
      <c r="KBG186" s="298"/>
      <c r="KBH186" s="298"/>
      <c r="KBI186" s="298"/>
      <c r="KBJ186" s="298"/>
      <c r="KBK186" s="298"/>
      <c r="KBL186" s="298"/>
      <c r="KBM186" s="298"/>
      <c r="KBN186" s="298"/>
      <c r="KBO186" s="298"/>
      <c r="KBP186" s="298"/>
      <c r="KBQ186" s="298"/>
      <c r="KBR186" s="298"/>
      <c r="KBS186" s="298"/>
      <c r="KBT186" s="298"/>
      <c r="KBU186" s="298"/>
      <c r="KBV186" s="298"/>
      <c r="KBW186" s="298"/>
      <c r="KBX186" s="298"/>
      <c r="KBY186" s="298"/>
      <c r="KBZ186" s="298"/>
      <c r="KCA186" s="298"/>
      <c r="KCB186" s="298"/>
      <c r="KCC186" s="298"/>
      <c r="KCD186" s="298"/>
      <c r="KCE186" s="298"/>
      <c r="KCF186" s="298"/>
      <c r="KCG186" s="298"/>
      <c r="KCH186" s="298"/>
      <c r="KCI186" s="298"/>
      <c r="KCJ186" s="298"/>
      <c r="KCK186" s="298"/>
      <c r="KCL186" s="298"/>
      <c r="KCM186" s="298"/>
      <c r="KCN186" s="298"/>
      <c r="KCO186" s="298"/>
      <c r="KCP186" s="298"/>
      <c r="KCQ186" s="298"/>
      <c r="KCR186" s="298"/>
      <c r="KCS186" s="298"/>
      <c r="KCT186" s="298"/>
      <c r="KCU186" s="298"/>
      <c r="KCV186" s="298"/>
      <c r="KCW186" s="298"/>
      <c r="KCX186" s="298"/>
      <c r="KCY186" s="298"/>
      <c r="KCZ186" s="298"/>
      <c r="KDA186" s="298"/>
      <c r="KDB186" s="298"/>
      <c r="KDC186" s="298"/>
      <c r="KDD186" s="298"/>
      <c r="KDE186" s="298"/>
      <c r="KDF186" s="298"/>
      <c r="KDG186" s="298"/>
      <c r="KDH186" s="298"/>
      <c r="KDI186" s="298"/>
      <c r="KDJ186" s="298"/>
      <c r="KDK186" s="298"/>
      <c r="KDL186" s="298"/>
      <c r="KDM186" s="298"/>
      <c r="KDN186" s="298"/>
      <c r="KDO186" s="298"/>
      <c r="KDP186" s="298"/>
      <c r="KDQ186" s="298"/>
      <c r="KDR186" s="298"/>
      <c r="KDS186" s="298"/>
      <c r="KDT186" s="298"/>
      <c r="KDU186" s="298"/>
      <c r="KDV186" s="298"/>
      <c r="KDW186" s="298"/>
      <c r="KDX186" s="298"/>
      <c r="KDY186" s="298"/>
      <c r="KDZ186" s="298"/>
      <c r="KEA186" s="298"/>
      <c r="KEB186" s="298"/>
      <c r="KEC186" s="298"/>
      <c r="KED186" s="298"/>
      <c r="KEE186" s="298"/>
      <c r="KEF186" s="298"/>
      <c r="KEG186" s="298"/>
      <c r="KEH186" s="298"/>
      <c r="KEI186" s="298"/>
      <c r="KEJ186" s="298"/>
      <c r="KEK186" s="298"/>
      <c r="KEL186" s="298"/>
      <c r="KEM186" s="298"/>
      <c r="KEN186" s="298"/>
      <c r="KEO186" s="298"/>
      <c r="KEP186" s="298"/>
      <c r="KEQ186" s="298"/>
      <c r="KER186" s="298"/>
      <c r="KES186" s="298"/>
      <c r="KET186" s="298"/>
      <c r="KEU186" s="298"/>
      <c r="KEV186" s="298"/>
      <c r="KEW186" s="298"/>
      <c r="KEX186" s="298"/>
      <c r="KEY186" s="298"/>
      <c r="KEZ186" s="298"/>
      <c r="KFA186" s="298"/>
      <c r="KFB186" s="298"/>
      <c r="KFC186" s="298"/>
      <c r="KFD186" s="298"/>
      <c r="KFE186" s="298"/>
      <c r="KFF186" s="298"/>
      <c r="KFG186" s="298"/>
      <c r="KFH186" s="298"/>
      <c r="KFI186" s="298"/>
      <c r="KFJ186" s="298"/>
      <c r="KFK186" s="298"/>
      <c r="KFL186" s="298"/>
      <c r="KFM186" s="298"/>
      <c r="KFN186" s="298"/>
      <c r="KFO186" s="298"/>
      <c r="KFP186" s="298"/>
      <c r="KFQ186" s="298"/>
      <c r="KFR186" s="298"/>
      <c r="KFS186" s="298"/>
      <c r="KFT186" s="298"/>
      <c r="KFU186" s="298"/>
      <c r="KFV186" s="298"/>
      <c r="KFW186" s="298"/>
      <c r="KFX186" s="298"/>
      <c r="KFY186" s="298"/>
      <c r="KFZ186" s="298"/>
      <c r="KGA186" s="298"/>
      <c r="KGB186" s="298"/>
      <c r="KGC186" s="298"/>
      <c r="KGD186" s="298"/>
      <c r="KGE186" s="298"/>
      <c r="KGF186" s="298"/>
      <c r="KGG186" s="298"/>
      <c r="KGH186" s="298"/>
      <c r="KGI186" s="298"/>
      <c r="KGJ186" s="298"/>
      <c r="KGK186" s="298"/>
      <c r="KGL186" s="298"/>
      <c r="KGM186" s="298"/>
      <c r="KGN186" s="298"/>
      <c r="KGO186" s="298"/>
      <c r="KGP186" s="298"/>
      <c r="KGQ186" s="298"/>
      <c r="KGR186" s="298"/>
      <c r="KGS186" s="298"/>
      <c r="KGT186" s="298"/>
      <c r="KGU186" s="298"/>
      <c r="KGV186" s="298"/>
      <c r="KGW186" s="298"/>
      <c r="KGX186" s="298"/>
      <c r="KGY186" s="298"/>
      <c r="KGZ186" s="298"/>
      <c r="KHA186" s="298"/>
      <c r="KHB186" s="298"/>
      <c r="KHC186" s="298"/>
      <c r="KHD186" s="298"/>
      <c r="KHE186" s="298"/>
      <c r="KHF186" s="298"/>
      <c r="KHG186" s="298"/>
      <c r="KHH186" s="298"/>
      <c r="KHI186" s="298"/>
      <c r="KHJ186" s="298"/>
      <c r="KHK186" s="298"/>
      <c r="KHL186" s="298"/>
      <c r="KHM186" s="298"/>
      <c r="KHN186" s="298"/>
      <c r="KHO186" s="298"/>
      <c r="KHP186" s="298"/>
      <c r="KHQ186" s="298"/>
      <c r="KHR186" s="298"/>
      <c r="KHS186" s="298"/>
      <c r="KHT186" s="298"/>
      <c r="KHU186" s="298"/>
      <c r="KHV186" s="298"/>
      <c r="KHW186" s="298"/>
      <c r="KHX186" s="298"/>
      <c r="KHY186" s="298"/>
      <c r="KHZ186" s="298"/>
      <c r="KIA186" s="298"/>
      <c r="KIB186" s="298"/>
      <c r="KIC186" s="298"/>
      <c r="KID186" s="298"/>
      <c r="KIE186" s="298"/>
      <c r="KIF186" s="298"/>
      <c r="KIG186" s="298"/>
      <c r="KIH186" s="298"/>
      <c r="KII186" s="298"/>
      <c r="KIJ186" s="298"/>
      <c r="KIK186" s="298"/>
      <c r="KIL186" s="298"/>
      <c r="KIM186" s="298"/>
      <c r="KIN186" s="298"/>
      <c r="KIO186" s="298"/>
      <c r="KIP186" s="298"/>
      <c r="KIQ186" s="298"/>
      <c r="KIR186" s="298"/>
      <c r="KIS186" s="298"/>
      <c r="KIT186" s="298"/>
      <c r="KIU186" s="298"/>
      <c r="KIV186" s="298"/>
      <c r="KIW186" s="298"/>
      <c r="KIX186" s="298"/>
      <c r="KIY186" s="298"/>
      <c r="KIZ186" s="298"/>
      <c r="KJA186" s="298"/>
      <c r="KJB186" s="298"/>
      <c r="KJC186" s="298"/>
      <c r="KJD186" s="298"/>
      <c r="KJE186" s="298"/>
      <c r="KJF186" s="298"/>
      <c r="KJG186" s="298"/>
      <c r="KJH186" s="298"/>
      <c r="KJI186" s="298"/>
      <c r="KJJ186" s="298"/>
      <c r="KJK186" s="298"/>
      <c r="KJL186" s="298"/>
      <c r="KJM186" s="298"/>
      <c r="KJN186" s="298"/>
      <c r="KJO186" s="298"/>
      <c r="KJP186" s="298"/>
      <c r="KJQ186" s="298"/>
      <c r="KJR186" s="298"/>
      <c r="KJS186" s="298"/>
      <c r="KJT186" s="298"/>
      <c r="KJU186" s="298"/>
      <c r="KJV186" s="298"/>
      <c r="KJW186" s="298"/>
      <c r="KJX186" s="298"/>
      <c r="KJY186" s="298"/>
      <c r="KJZ186" s="298"/>
      <c r="KKA186" s="298"/>
      <c r="KKB186" s="298"/>
      <c r="KKC186" s="298"/>
      <c r="KKD186" s="298"/>
      <c r="KKE186" s="298"/>
      <c r="KKF186" s="298"/>
      <c r="KKG186" s="298"/>
      <c r="KKH186" s="298"/>
      <c r="KKI186" s="298"/>
      <c r="KKJ186" s="298"/>
      <c r="KKK186" s="298"/>
      <c r="KKL186" s="298"/>
      <c r="KKM186" s="298"/>
      <c r="KKN186" s="298"/>
      <c r="KKO186" s="298"/>
      <c r="KKP186" s="298"/>
      <c r="KKQ186" s="298"/>
      <c r="KKR186" s="298"/>
      <c r="KKS186" s="298"/>
      <c r="KKT186" s="298"/>
      <c r="KKU186" s="298"/>
      <c r="KKV186" s="298"/>
      <c r="KKW186" s="298"/>
      <c r="KKX186" s="298"/>
      <c r="KKY186" s="298"/>
      <c r="KKZ186" s="298"/>
      <c r="KLA186" s="298"/>
      <c r="KLB186" s="298"/>
      <c r="KLC186" s="298"/>
      <c r="KLD186" s="298"/>
      <c r="KLE186" s="298"/>
      <c r="KLF186" s="298"/>
      <c r="KLG186" s="298"/>
      <c r="KLH186" s="298"/>
      <c r="KLI186" s="298"/>
      <c r="KLJ186" s="298"/>
      <c r="KLK186" s="298"/>
      <c r="KLL186" s="298"/>
      <c r="KLM186" s="298"/>
      <c r="KLN186" s="298"/>
      <c r="KLO186" s="298"/>
      <c r="KLP186" s="298"/>
      <c r="KLQ186" s="298"/>
      <c r="KLR186" s="298"/>
      <c r="KLS186" s="298"/>
      <c r="KLT186" s="298"/>
      <c r="KLU186" s="298"/>
      <c r="KLV186" s="298"/>
      <c r="KLW186" s="298"/>
      <c r="KLX186" s="298"/>
      <c r="KLY186" s="298"/>
      <c r="KLZ186" s="298"/>
      <c r="KMA186" s="298"/>
      <c r="KMB186" s="298"/>
      <c r="KMC186" s="298"/>
      <c r="KMD186" s="298"/>
      <c r="KME186" s="298"/>
      <c r="KMF186" s="298"/>
      <c r="KMG186" s="298"/>
      <c r="KMH186" s="298"/>
      <c r="KMI186" s="298"/>
      <c r="KMJ186" s="298"/>
      <c r="KMK186" s="298"/>
      <c r="KML186" s="298"/>
      <c r="KMM186" s="298"/>
      <c r="KMN186" s="298"/>
      <c r="KMO186" s="298"/>
      <c r="KMP186" s="298"/>
      <c r="KMQ186" s="298"/>
      <c r="KMR186" s="298"/>
      <c r="KMS186" s="298"/>
      <c r="KMT186" s="298"/>
      <c r="KMU186" s="298"/>
      <c r="KMV186" s="298"/>
      <c r="KMW186" s="298"/>
      <c r="KMX186" s="298"/>
      <c r="KMY186" s="298"/>
      <c r="KMZ186" s="298"/>
      <c r="KNA186" s="298"/>
      <c r="KNB186" s="298"/>
      <c r="KNC186" s="298"/>
      <c r="KND186" s="298"/>
      <c r="KNE186" s="298"/>
      <c r="KNF186" s="298"/>
      <c r="KNG186" s="298"/>
      <c r="KNH186" s="298"/>
      <c r="KNI186" s="298"/>
      <c r="KNJ186" s="298"/>
      <c r="KNK186" s="298"/>
      <c r="KNL186" s="298"/>
      <c r="KNM186" s="298"/>
      <c r="KNN186" s="298"/>
      <c r="KNO186" s="298"/>
      <c r="KNP186" s="298"/>
      <c r="KNQ186" s="298"/>
      <c r="KNR186" s="298"/>
      <c r="KNS186" s="298"/>
      <c r="KNT186" s="298"/>
      <c r="KNU186" s="298"/>
      <c r="KNV186" s="298"/>
      <c r="KNW186" s="298"/>
      <c r="KNX186" s="298"/>
      <c r="KNY186" s="298"/>
      <c r="KNZ186" s="298"/>
      <c r="KOA186" s="298"/>
      <c r="KOB186" s="298"/>
      <c r="KOC186" s="298"/>
      <c r="KOD186" s="298"/>
      <c r="KOE186" s="298"/>
      <c r="KOF186" s="298"/>
      <c r="KOG186" s="298"/>
      <c r="KOH186" s="298"/>
      <c r="KOI186" s="298"/>
      <c r="KOJ186" s="298"/>
      <c r="KOK186" s="298"/>
      <c r="KOL186" s="298"/>
      <c r="KOM186" s="298"/>
      <c r="KON186" s="298"/>
      <c r="KOO186" s="298"/>
      <c r="KOP186" s="298"/>
      <c r="KOQ186" s="298"/>
      <c r="KOR186" s="298"/>
      <c r="KOS186" s="298"/>
      <c r="KOT186" s="298"/>
      <c r="KOU186" s="298"/>
      <c r="KOV186" s="298"/>
      <c r="KOW186" s="298"/>
      <c r="KOX186" s="298"/>
      <c r="KOY186" s="298"/>
      <c r="KOZ186" s="298"/>
      <c r="KPA186" s="298"/>
      <c r="KPB186" s="298"/>
      <c r="KPC186" s="298"/>
      <c r="KPD186" s="298"/>
      <c r="KPE186" s="298"/>
      <c r="KPF186" s="298"/>
      <c r="KPG186" s="298"/>
      <c r="KPH186" s="298"/>
      <c r="KPI186" s="298"/>
      <c r="KPJ186" s="298"/>
      <c r="KPK186" s="298"/>
      <c r="KPL186" s="298"/>
      <c r="KPM186" s="298"/>
      <c r="KPN186" s="298"/>
      <c r="KPO186" s="298"/>
      <c r="KPP186" s="298"/>
      <c r="KPQ186" s="298"/>
      <c r="KPR186" s="298"/>
      <c r="KPS186" s="298"/>
      <c r="KPT186" s="298"/>
      <c r="KPU186" s="298"/>
      <c r="KPV186" s="298"/>
      <c r="KPW186" s="298"/>
      <c r="KPX186" s="298"/>
      <c r="KPY186" s="298"/>
      <c r="KPZ186" s="298"/>
      <c r="KQA186" s="298"/>
      <c r="KQB186" s="298"/>
      <c r="KQC186" s="298"/>
      <c r="KQD186" s="298"/>
      <c r="KQE186" s="298"/>
      <c r="KQF186" s="298"/>
      <c r="KQG186" s="298"/>
      <c r="KQH186" s="298"/>
      <c r="KQI186" s="298"/>
      <c r="KQJ186" s="298"/>
      <c r="KQK186" s="298"/>
      <c r="KQL186" s="298"/>
      <c r="KQM186" s="298"/>
      <c r="KQN186" s="298"/>
      <c r="KQO186" s="298"/>
      <c r="KQP186" s="298"/>
      <c r="KQQ186" s="298"/>
      <c r="KQR186" s="298"/>
      <c r="KQS186" s="298"/>
      <c r="KQT186" s="298"/>
      <c r="KQU186" s="298"/>
      <c r="KQV186" s="298"/>
      <c r="KQW186" s="298"/>
      <c r="KQX186" s="298"/>
      <c r="KQY186" s="298"/>
      <c r="KQZ186" s="298"/>
      <c r="KRA186" s="298"/>
      <c r="KRB186" s="298"/>
      <c r="KRC186" s="298"/>
      <c r="KRD186" s="298"/>
      <c r="KRE186" s="298"/>
      <c r="KRF186" s="298"/>
      <c r="KRG186" s="298"/>
      <c r="KRH186" s="298"/>
      <c r="KRI186" s="298"/>
      <c r="KRJ186" s="298"/>
      <c r="KRK186" s="298"/>
      <c r="KRL186" s="298"/>
      <c r="KRM186" s="298"/>
      <c r="KRN186" s="298"/>
      <c r="KRO186" s="298"/>
      <c r="KRP186" s="298"/>
      <c r="KRQ186" s="298"/>
      <c r="KRR186" s="298"/>
      <c r="KRS186" s="298"/>
      <c r="KRT186" s="298"/>
      <c r="KRU186" s="298"/>
      <c r="KRV186" s="298"/>
      <c r="KRW186" s="298"/>
      <c r="KRX186" s="298"/>
      <c r="KRY186" s="298"/>
      <c r="KRZ186" s="298"/>
      <c r="KSA186" s="298"/>
      <c r="KSB186" s="298"/>
      <c r="KSC186" s="298"/>
      <c r="KSD186" s="298"/>
      <c r="KSE186" s="298"/>
      <c r="KSF186" s="298"/>
      <c r="KSG186" s="298"/>
      <c r="KSH186" s="298"/>
      <c r="KSI186" s="298"/>
      <c r="KSJ186" s="298"/>
      <c r="KSK186" s="298"/>
      <c r="KSL186" s="298"/>
      <c r="KSM186" s="298"/>
      <c r="KSN186" s="298"/>
      <c r="KSO186" s="298"/>
      <c r="KSP186" s="298"/>
      <c r="KSQ186" s="298"/>
      <c r="KSR186" s="298"/>
      <c r="KSS186" s="298"/>
      <c r="KST186" s="298"/>
      <c r="KSU186" s="298"/>
      <c r="KSV186" s="298"/>
      <c r="KSW186" s="298"/>
      <c r="KSX186" s="298"/>
      <c r="KSY186" s="298"/>
      <c r="KSZ186" s="298"/>
      <c r="KTA186" s="298"/>
      <c r="KTB186" s="298"/>
      <c r="KTC186" s="298"/>
      <c r="KTD186" s="298"/>
      <c r="KTE186" s="298"/>
      <c r="KTF186" s="298"/>
      <c r="KTG186" s="298"/>
      <c r="KTH186" s="298"/>
      <c r="KTI186" s="298"/>
      <c r="KTJ186" s="298"/>
      <c r="KTK186" s="298"/>
      <c r="KTL186" s="298"/>
      <c r="KTM186" s="298"/>
      <c r="KTN186" s="298"/>
      <c r="KTO186" s="298"/>
      <c r="KTP186" s="298"/>
      <c r="KTQ186" s="298"/>
      <c r="KTR186" s="298"/>
      <c r="KTS186" s="298"/>
      <c r="KTT186" s="298"/>
      <c r="KTU186" s="298"/>
      <c r="KTV186" s="298"/>
      <c r="KTW186" s="298"/>
      <c r="KTX186" s="298"/>
      <c r="KTY186" s="298"/>
      <c r="KTZ186" s="298"/>
      <c r="KUA186" s="298"/>
      <c r="KUB186" s="298"/>
      <c r="KUC186" s="298"/>
      <c r="KUD186" s="298"/>
      <c r="KUE186" s="298"/>
      <c r="KUF186" s="298"/>
      <c r="KUG186" s="298"/>
      <c r="KUH186" s="298"/>
      <c r="KUI186" s="298"/>
      <c r="KUJ186" s="298"/>
      <c r="KUK186" s="298"/>
      <c r="KUL186" s="298"/>
      <c r="KUM186" s="298"/>
      <c r="KUN186" s="298"/>
      <c r="KUO186" s="298"/>
      <c r="KUP186" s="298"/>
      <c r="KUQ186" s="298"/>
      <c r="KUR186" s="298"/>
      <c r="KUS186" s="298"/>
      <c r="KUT186" s="298"/>
      <c r="KUU186" s="298"/>
      <c r="KUV186" s="298"/>
      <c r="KUW186" s="298"/>
      <c r="KUX186" s="298"/>
      <c r="KUY186" s="298"/>
      <c r="KUZ186" s="298"/>
      <c r="KVA186" s="298"/>
      <c r="KVB186" s="298"/>
      <c r="KVC186" s="298"/>
      <c r="KVD186" s="298"/>
      <c r="KVE186" s="298"/>
      <c r="KVF186" s="298"/>
      <c r="KVG186" s="298"/>
      <c r="KVH186" s="298"/>
      <c r="KVI186" s="298"/>
      <c r="KVJ186" s="298"/>
      <c r="KVK186" s="298"/>
      <c r="KVL186" s="298"/>
      <c r="KVM186" s="298"/>
      <c r="KVN186" s="298"/>
      <c r="KVO186" s="298"/>
      <c r="KVP186" s="298"/>
      <c r="KVQ186" s="298"/>
      <c r="KVR186" s="298"/>
      <c r="KVS186" s="298"/>
      <c r="KVT186" s="298"/>
      <c r="KVU186" s="298"/>
      <c r="KVV186" s="298"/>
      <c r="KVW186" s="298"/>
      <c r="KVX186" s="298"/>
      <c r="KVY186" s="298"/>
      <c r="KVZ186" s="298"/>
      <c r="KWA186" s="298"/>
      <c r="KWB186" s="298"/>
      <c r="KWC186" s="298"/>
      <c r="KWD186" s="298"/>
      <c r="KWE186" s="298"/>
      <c r="KWF186" s="298"/>
      <c r="KWG186" s="298"/>
      <c r="KWH186" s="298"/>
      <c r="KWI186" s="298"/>
      <c r="KWJ186" s="298"/>
      <c r="KWK186" s="298"/>
      <c r="KWL186" s="298"/>
      <c r="KWM186" s="298"/>
      <c r="KWN186" s="298"/>
      <c r="KWO186" s="298"/>
      <c r="KWP186" s="298"/>
      <c r="KWQ186" s="298"/>
      <c r="KWR186" s="298"/>
      <c r="KWS186" s="298"/>
      <c r="KWT186" s="298"/>
      <c r="KWU186" s="298"/>
      <c r="KWV186" s="298"/>
      <c r="KWW186" s="298"/>
      <c r="KWX186" s="298"/>
      <c r="KWY186" s="298"/>
      <c r="KWZ186" s="298"/>
      <c r="KXA186" s="298"/>
      <c r="KXB186" s="298"/>
      <c r="KXC186" s="298"/>
      <c r="KXD186" s="298"/>
      <c r="KXE186" s="298"/>
      <c r="KXF186" s="298"/>
      <c r="KXG186" s="298"/>
      <c r="KXH186" s="298"/>
      <c r="KXI186" s="298"/>
      <c r="KXJ186" s="298"/>
      <c r="KXK186" s="298"/>
      <c r="KXL186" s="298"/>
      <c r="KXM186" s="298"/>
      <c r="KXN186" s="298"/>
      <c r="KXO186" s="298"/>
      <c r="KXP186" s="298"/>
      <c r="KXQ186" s="298"/>
      <c r="KXR186" s="298"/>
      <c r="KXS186" s="298"/>
      <c r="KXT186" s="298"/>
      <c r="KXU186" s="298"/>
      <c r="KXV186" s="298"/>
      <c r="KXW186" s="298"/>
      <c r="KXX186" s="298"/>
      <c r="KXY186" s="298"/>
      <c r="KXZ186" s="298"/>
      <c r="KYA186" s="298"/>
      <c r="KYB186" s="298"/>
      <c r="KYC186" s="298"/>
      <c r="KYD186" s="298"/>
      <c r="KYE186" s="298"/>
      <c r="KYF186" s="298"/>
      <c r="KYG186" s="298"/>
      <c r="KYH186" s="298"/>
      <c r="KYI186" s="298"/>
      <c r="KYJ186" s="298"/>
      <c r="KYK186" s="298"/>
      <c r="KYL186" s="298"/>
      <c r="KYM186" s="298"/>
      <c r="KYN186" s="298"/>
      <c r="KYO186" s="298"/>
      <c r="KYP186" s="298"/>
      <c r="KYQ186" s="298"/>
      <c r="KYR186" s="298"/>
      <c r="KYS186" s="298"/>
      <c r="KYT186" s="298"/>
      <c r="KYU186" s="298"/>
      <c r="KYV186" s="298"/>
      <c r="KYW186" s="298"/>
      <c r="KYX186" s="298"/>
      <c r="KYY186" s="298"/>
      <c r="KYZ186" s="298"/>
      <c r="KZA186" s="298"/>
      <c r="KZB186" s="298"/>
      <c r="KZC186" s="298"/>
      <c r="KZD186" s="298"/>
      <c r="KZE186" s="298"/>
      <c r="KZF186" s="298"/>
      <c r="KZG186" s="298"/>
      <c r="KZH186" s="298"/>
      <c r="KZI186" s="298"/>
      <c r="KZJ186" s="298"/>
      <c r="KZK186" s="298"/>
      <c r="KZL186" s="298"/>
      <c r="KZM186" s="298"/>
      <c r="KZN186" s="298"/>
      <c r="KZO186" s="298"/>
      <c r="KZP186" s="298"/>
      <c r="KZQ186" s="298"/>
      <c r="KZR186" s="298"/>
      <c r="KZS186" s="298"/>
      <c r="KZT186" s="298"/>
      <c r="KZU186" s="298"/>
      <c r="KZV186" s="298"/>
      <c r="KZW186" s="298"/>
      <c r="KZX186" s="298"/>
      <c r="KZY186" s="298"/>
      <c r="KZZ186" s="298"/>
      <c r="LAA186" s="298"/>
      <c r="LAB186" s="298"/>
      <c r="LAC186" s="298"/>
      <c r="LAD186" s="298"/>
      <c r="LAE186" s="298"/>
      <c r="LAF186" s="298"/>
      <c r="LAG186" s="298"/>
      <c r="LAH186" s="298"/>
      <c r="LAI186" s="298"/>
      <c r="LAJ186" s="298"/>
      <c r="LAK186" s="298"/>
      <c r="LAL186" s="298"/>
      <c r="LAM186" s="298"/>
      <c r="LAN186" s="298"/>
      <c r="LAO186" s="298"/>
      <c r="LAP186" s="298"/>
      <c r="LAQ186" s="298"/>
      <c r="LAR186" s="298"/>
      <c r="LAS186" s="298"/>
      <c r="LAT186" s="298"/>
      <c r="LAU186" s="298"/>
      <c r="LAV186" s="298"/>
      <c r="LAW186" s="298"/>
      <c r="LAX186" s="298"/>
      <c r="LAY186" s="298"/>
      <c r="LAZ186" s="298"/>
      <c r="LBA186" s="298"/>
      <c r="LBB186" s="298"/>
      <c r="LBC186" s="298"/>
      <c r="LBD186" s="298"/>
      <c r="LBE186" s="298"/>
      <c r="LBF186" s="298"/>
      <c r="LBG186" s="298"/>
      <c r="LBH186" s="298"/>
      <c r="LBI186" s="298"/>
      <c r="LBJ186" s="298"/>
      <c r="LBK186" s="298"/>
      <c r="LBL186" s="298"/>
      <c r="LBM186" s="298"/>
      <c r="LBN186" s="298"/>
      <c r="LBO186" s="298"/>
      <c r="LBP186" s="298"/>
      <c r="LBQ186" s="298"/>
      <c r="LBR186" s="298"/>
      <c r="LBS186" s="298"/>
      <c r="LBT186" s="298"/>
      <c r="LBU186" s="298"/>
      <c r="LBV186" s="298"/>
      <c r="LBW186" s="298"/>
      <c r="LBX186" s="298"/>
      <c r="LBY186" s="298"/>
      <c r="LBZ186" s="298"/>
      <c r="LCA186" s="298"/>
      <c r="LCB186" s="298"/>
      <c r="LCC186" s="298"/>
      <c r="LCD186" s="298"/>
      <c r="LCE186" s="298"/>
      <c r="LCF186" s="298"/>
      <c r="LCG186" s="298"/>
      <c r="LCH186" s="298"/>
      <c r="LCI186" s="298"/>
      <c r="LCJ186" s="298"/>
      <c r="LCK186" s="298"/>
      <c r="LCL186" s="298"/>
      <c r="LCM186" s="298"/>
      <c r="LCN186" s="298"/>
      <c r="LCO186" s="298"/>
      <c r="LCP186" s="298"/>
      <c r="LCQ186" s="298"/>
      <c r="LCR186" s="298"/>
      <c r="LCS186" s="298"/>
      <c r="LCT186" s="298"/>
      <c r="LCU186" s="298"/>
      <c r="LCV186" s="298"/>
      <c r="LCW186" s="298"/>
      <c r="LCX186" s="298"/>
      <c r="LCY186" s="298"/>
      <c r="LCZ186" s="298"/>
      <c r="LDA186" s="298"/>
      <c r="LDB186" s="298"/>
      <c r="LDC186" s="298"/>
      <c r="LDD186" s="298"/>
      <c r="LDE186" s="298"/>
      <c r="LDF186" s="298"/>
      <c r="LDG186" s="298"/>
      <c r="LDH186" s="298"/>
      <c r="LDI186" s="298"/>
      <c r="LDJ186" s="298"/>
      <c r="LDK186" s="298"/>
      <c r="LDL186" s="298"/>
      <c r="LDM186" s="298"/>
      <c r="LDN186" s="298"/>
      <c r="LDO186" s="298"/>
      <c r="LDP186" s="298"/>
      <c r="LDQ186" s="298"/>
      <c r="LDR186" s="298"/>
      <c r="LDS186" s="298"/>
      <c r="LDT186" s="298"/>
      <c r="LDU186" s="298"/>
      <c r="LDV186" s="298"/>
      <c r="LDW186" s="298"/>
      <c r="LDX186" s="298"/>
      <c r="LDY186" s="298"/>
      <c r="LDZ186" s="298"/>
      <c r="LEA186" s="298"/>
      <c r="LEB186" s="298"/>
      <c r="LEC186" s="298"/>
      <c r="LED186" s="298"/>
      <c r="LEE186" s="298"/>
      <c r="LEF186" s="298"/>
      <c r="LEG186" s="298"/>
      <c r="LEH186" s="298"/>
      <c r="LEI186" s="298"/>
      <c r="LEJ186" s="298"/>
      <c r="LEK186" s="298"/>
      <c r="LEL186" s="298"/>
      <c r="LEM186" s="298"/>
      <c r="LEN186" s="298"/>
      <c r="LEO186" s="298"/>
      <c r="LEP186" s="298"/>
      <c r="LEQ186" s="298"/>
      <c r="LER186" s="298"/>
      <c r="LES186" s="298"/>
      <c r="LET186" s="298"/>
      <c r="LEU186" s="298"/>
      <c r="LEV186" s="298"/>
      <c r="LEW186" s="298"/>
      <c r="LEX186" s="298"/>
      <c r="LEY186" s="298"/>
      <c r="LEZ186" s="298"/>
      <c r="LFA186" s="298"/>
      <c r="LFB186" s="298"/>
      <c r="LFC186" s="298"/>
      <c r="LFD186" s="298"/>
      <c r="LFE186" s="298"/>
      <c r="LFF186" s="298"/>
      <c r="LFG186" s="298"/>
      <c r="LFH186" s="298"/>
      <c r="LFI186" s="298"/>
      <c r="LFJ186" s="298"/>
      <c r="LFK186" s="298"/>
      <c r="LFL186" s="298"/>
      <c r="LFM186" s="298"/>
      <c r="LFN186" s="298"/>
      <c r="LFO186" s="298"/>
      <c r="LFP186" s="298"/>
      <c r="LFQ186" s="298"/>
      <c r="LFR186" s="298"/>
      <c r="LFS186" s="298"/>
      <c r="LFT186" s="298"/>
      <c r="LFU186" s="298"/>
      <c r="LFV186" s="298"/>
      <c r="LFW186" s="298"/>
      <c r="LFX186" s="298"/>
      <c r="LFY186" s="298"/>
      <c r="LFZ186" s="298"/>
      <c r="LGA186" s="298"/>
      <c r="LGB186" s="298"/>
      <c r="LGC186" s="298"/>
      <c r="LGD186" s="298"/>
      <c r="LGE186" s="298"/>
      <c r="LGF186" s="298"/>
      <c r="LGG186" s="298"/>
      <c r="LGH186" s="298"/>
      <c r="LGI186" s="298"/>
      <c r="LGJ186" s="298"/>
      <c r="LGK186" s="298"/>
      <c r="LGL186" s="298"/>
      <c r="LGM186" s="298"/>
      <c r="LGN186" s="298"/>
      <c r="LGO186" s="298"/>
      <c r="LGP186" s="298"/>
      <c r="LGQ186" s="298"/>
      <c r="LGR186" s="298"/>
      <c r="LGS186" s="298"/>
      <c r="LGT186" s="298"/>
      <c r="LGU186" s="298"/>
      <c r="LGV186" s="298"/>
      <c r="LGW186" s="298"/>
      <c r="LGX186" s="298"/>
      <c r="LGY186" s="298"/>
      <c r="LGZ186" s="298"/>
      <c r="LHA186" s="298"/>
      <c r="LHB186" s="298"/>
      <c r="LHC186" s="298"/>
      <c r="LHD186" s="298"/>
      <c r="LHE186" s="298"/>
      <c r="LHF186" s="298"/>
      <c r="LHG186" s="298"/>
      <c r="LHH186" s="298"/>
      <c r="LHI186" s="298"/>
      <c r="LHJ186" s="298"/>
      <c r="LHK186" s="298"/>
      <c r="LHL186" s="298"/>
      <c r="LHM186" s="298"/>
      <c r="LHN186" s="298"/>
      <c r="LHO186" s="298"/>
      <c r="LHP186" s="298"/>
      <c r="LHQ186" s="298"/>
      <c r="LHR186" s="298"/>
      <c r="LHS186" s="298"/>
      <c r="LHT186" s="298"/>
      <c r="LHU186" s="298"/>
      <c r="LHV186" s="298"/>
      <c r="LHW186" s="298"/>
      <c r="LHX186" s="298"/>
      <c r="LHY186" s="298"/>
      <c r="LHZ186" s="298"/>
      <c r="LIA186" s="298"/>
      <c r="LIB186" s="298"/>
      <c r="LIC186" s="298"/>
      <c r="LID186" s="298"/>
      <c r="LIE186" s="298"/>
      <c r="LIF186" s="298"/>
      <c r="LIG186" s="298"/>
      <c r="LIH186" s="298"/>
      <c r="LII186" s="298"/>
      <c r="LIJ186" s="298"/>
      <c r="LIK186" s="298"/>
      <c r="LIL186" s="298"/>
      <c r="LIM186" s="298"/>
      <c r="LIN186" s="298"/>
      <c r="LIO186" s="298"/>
      <c r="LIP186" s="298"/>
      <c r="LIQ186" s="298"/>
      <c r="LIR186" s="298"/>
      <c r="LIS186" s="298"/>
      <c r="LIT186" s="298"/>
      <c r="LIU186" s="298"/>
      <c r="LIV186" s="298"/>
      <c r="LIW186" s="298"/>
      <c r="LIX186" s="298"/>
      <c r="LIY186" s="298"/>
      <c r="LIZ186" s="298"/>
      <c r="LJA186" s="298"/>
      <c r="LJB186" s="298"/>
      <c r="LJC186" s="298"/>
      <c r="LJD186" s="298"/>
      <c r="LJE186" s="298"/>
      <c r="LJF186" s="298"/>
      <c r="LJG186" s="298"/>
      <c r="LJH186" s="298"/>
      <c r="LJI186" s="298"/>
      <c r="LJJ186" s="298"/>
      <c r="LJK186" s="298"/>
      <c r="LJL186" s="298"/>
      <c r="LJM186" s="298"/>
      <c r="LJN186" s="298"/>
      <c r="LJO186" s="298"/>
      <c r="LJP186" s="298"/>
      <c r="LJQ186" s="298"/>
      <c r="LJR186" s="298"/>
      <c r="LJS186" s="298"/>
      <c r="LJT186" s="298"/>
      <c r="LJU186" s="298"/>
      <c r="LJV186" s="298"/>
      <c r="LJW186" s="298"/>
      <c r="LJX186" s="298"/>
      <c r="LJY186" s="298"/>
      <c r="LJZ186" s="298"/>
      <c r="LKA186" s="298"/>
      <c r="LKB186" s="298"/>
      <c r="LKC186" s="298"/>
      <c r="LKD186" s="298"/>
      <c r="LKE186" s="298"/>
      <c r="LKF186" s="298"/>
      <c r="LKG186" s="298"/>
      <c r="LKH186" s="298"/>
      <c r="LKI186" s="298"/>
      <c r="LKJ186" s="298"/>
      <c r="LKK186" s="298"/>
      <c r="LKL186" s="298"/>
      <c r="LKM186" s="298"/>
      <c r="LKN186" s="298"/>
      <c r="LKO186" s="298"/>
      <c r="LKP186" s="298"/>
      <c r="LKQ186" s="298"/>
      <c r="LKR186" s="298"/>
      <c r="LKS186" s="298"/>
      <c r="LKT186" s="298"/>
      <c r="LKU186" s="298"/>
      <c r="LKV186" s="298"/>
      <c r="LKW186" s="298"/>
      <c r="LKX186" s="298"/>
      <c r="LKY186" s="298"/>
      <c r="LKZ186" s="298"/>
      <c r="LLA186" s="298"/>
      <c r="LLB186" s="298"/>
      <c r="LLC186" s="298"/>
      <c r="LLD186" s="298"/>
      <c r="LLE186" s="298"/>
      <c r="LLF186" s="298"/>
      <c r="LLG186" s="298"/>
      <c r="LLH186" s="298"/>
      <c r="LLI186" s="298"/>
      <c r="LLJ186" s="298"/>
      <c r="LLK186" s="298"/>
      <c r="LLL186" s="298"/>
      <c r="LLM186" s="298"/>
      <c r="LLN186" s="298"/>
      <c r="LLO186" s="298"/>
      <c r="LLP186" s="298"/>
      <c r="LLQ186" s="298"/>
      <c r="LLR186" s="298"/>
      <c r="LLS186" s="298"/>
      <c r="LLT186" s="298"/>
      <c r="LLU186" s="298"/>
      <c r="LLV186" s="298"/>
      <c r="LLW186" s="298"/>
      <c r="LLX186" s="298"/>
      <c r="LLY186" s="298"/>
      <c r="LLZ186" s="298"/>
      <c r="LMA186" s="298"/>
      <c r="LMB186" s="298"/>
      <c r="LMC186" s="298"/>
      <c r="LMD186" s="298"/>
      <c r="LME186" s="298"/>
      <c r="LMF186" s="298"/>
      <c r="LMG186" s="298"/>
      <c r="LMH186" s="298"/>
      <c r="LMI186" s="298"/>
      <c r="LMJ186" s="298"/>
      <c r="LMK186" s="298"/>
      <c r="LML186" s="298"/>
      <c r="LMM186" s="298"/>
      <c r="LMN186" s="298"/>
      <c r="LMO186" s="298"/>
      <c r="LMP186" s="298"/>
      <c r="LMQ186" s="298"/>
      <c r="LMR186" s="298"/>
      <c r="LMS186" s="298"/>
      <c r="LMT186" s="298"/>
      <c r="LMU186" s="298"/>
      <c r="LMV186" s="298"/>
      <c r="LMW186" s="298"/>
      <c r="LMX186" s="298"/>
      <c r="LMY186" s="298"/>
      <c r="LMZ186" s="298"/>
      <c r="LNA186" s="298"/>
      <c r="LNB186" s="298"/>
      <c r="LNC186" s="298"/>
      <c r="LND186" s="298"/>
      <c r="LNE186" s="298"/>
      <c r="LNF186" s="298"/>
      <c r="LNG186" s="298"/>
      <c r="LNH186" s="298"/>
      <c r="LNI186" s="298"/>
      <c r="LNJ186" s="298"/>
      <c r="LNK186" s="298"/>
      <c r="LNL186" s="298"/>
      <c r="LNM186" s="298"/>
      <c r="LNN186" s="298"/>
      <c r="LNO186" s="298"/>
      <c r="LNP186" s="298"/>
      <c r="LNQ186" s="298"/>
      <c r="LNR186" s="298"/>
      <c r="LNS186" s="298"/>
      <c r="LNT186" s="298"/>
      <c r="LNU186" s="298"/>
      <c r="LNV186" s="298"/>
      <c r="LNW186" s="298"/>
      <c r="LNX186" s="298"/>
      <c r="LNY186" s="298"/>
      <c r="LNZ186" s="298"/>
      <c r="LOA186" s="298"/>
      <c r="LOB186" s="298"/>
      <c r="LOC186" s="298"/>
      <c r="LOD186" s="298"/>
      <c r="LOE186" s="298"/>
      <c r="LOF186" s="298"/>
      <c r="LOG186" s="298"/>
      <c r="LOH186" s="298"/>
      <c r="LOI186" s="298"/>
      <c r="LOJ186" s="298"/>
      <c r="LOK186" s="298"/>
      <c r="LOL186" s="298"/>
      <c r="LOM186" s="298"/>
      <c r="LON186" s="298"/>
      <c r="LOO186" s="298"/>
      <c r="LOP186" s="298"/>
      <c r="LOQ186" s="298"/>
      <c r="LOR186" s="298"/>
      <c r="LOS186" s="298"/>
      <c r="LOT186" s="298"/>
      <c r="LOU186" s="298"/>
      <c r="LOV186" s="298"/>
      <c r="LOW186" s="298"/>
      <c r="LOX186" s="298"/>
      <c r="LOY186" s="298"/>
      <c r="LOZ186" s="298"/>
      <c r="LPA186" s="298"/>
      <c r="LPB186" s="298"/>
      <c r="LPC186" s="298"/>
      <c r="LPD186" s="298"/>
      <c r="LPE186" s="298"/>
      <c r="LPF186" s="298"/>
      <c r="LPG186" s="298"/>
      <c r="LPH186" s="298"/>
      <c r="LPI186" s="298"/>
      <c r="LPJ186" s="298"/>
      <c r="LPK186" s="298"/>
      <c r="LPL186" s="298"/>
      <c r="LPM186" s="298"/>
      <c r="LPN186" s="298"/>
      <c r="LPO186" s="298"/>
      <c r="LPP186" s="298"/>
      <c r="LPQ186" s="298"/>
      <c r="LPR186" s="298"/>
      <c r="LPS186" s="298"/>
      <c r="LPT186" s="298"/>
      <c r="LPU186" s="298"/>
      <c r="LPV186" s="298"/>
      <c r="LPW186" s="298"/>
      <c r="LPX186" s="298"/>
      <c r="LPY186" s="298"/>
      <c r="LPZ186" s="298"/>
      <c r="LQA186" s="298"/>
      <c r="LQB186" s="298"/>
      <c r="LQC186" s="298"/>
      <c r="LQD186" s="298"/>
      <c r="LQE186" s="298"/>
      <c r="LQF186" s="298"/>
      <c r="LQG186" s="298"/>
      <c r="LQH186" s="298"/>
      <c r="LQI186" s="298"/>
      <c r="LQJ186" s="298"/>
      <c r="LQK186" s="298"/>
      <c r="LQL186" s="298"/>
      <c r="LQM186" s="298"/>
      <c r="LQN186" s="298"/>
      <c r="LQO186" s="298"/>
      <c r="LQP186" s="298"/>
      <c r="LQQ186" s="298"/>
      <c r="LQR186" s="298"/>
      <c r="LQS186" s="298"/>
      <c r="LQT186" s="298"/>
      <c r="LQU186" s="298"/>
      <c r="LQV186" s="298"/>
      <c r="LQW186" s="298"/>
      <c r="LQX186" s="298"/>
      <c r="LQY186" s="298"/>
      <c r="LQZ186" s="298"/>
      <c r="LRA186" s="298"/>
      <c r="LRB186" s="298"/>
      <c r="LRC186" s="298"/>
      <c r="LRD186" s="298"/>
      <c r="LRE186" s="298"/>
      <c r="LRF186" s="298"/>
      <c r="LRG186" s="298"/>
      <c r="LRH186" s="298"/>
      <c r="LRI186" s="298"/>
      <c r="LRJ186" s="298"/>
      <c r="LRK186" s="298"/>
      <c r="LRL186" s="298"/>
      <c r="LRM186" s="298"/>
      <c r="LRN186" s="298"/>
      <c r="LRO186" s="298"/>
      <c r="LRP186" s="298"/>
      <c r="LRQ186" s="298"/>
      <c r="LRR186" s="298"/>
      <c r="LRS186" s="298"/>
      <c r="LRT186" s="298"/>
      <c r="LRU186" s="298"/>
      <c r="LRV186" s="298"/>
      <c r="LRW186" s="298"/>
      <c r="LRX186" s="298"/>
      <c r="LRY186" s="298"/>
      <c r="LRZ186" s="298"/>
      <c r="LSA186" s="298"/>
      <c r="LSB186" s="298"/>
      <c r="LSC186" s="298"/>
      <c r="LSD186" s="298"/>
      <c r="LSE186" s="298"/>
      <c r="LSF186" s="298"/>
      <c r="LSG186" s="298"/>
      <c r="LSH186" s="298"/>
      <c r="LSI186" s="298"/>
      <c r="LSJ186" s="298"/>
      <c r="LSK186" s="298"/>
      <c r="LSL186" s="298"/>
      <c r="LSM186" s="298"/>
      <c r="LSN186" s="298"/>
      <c r="LSO186" s="298"/>
      <c r="LSP186" s="298"/>
      <c r="LSQ186" s="298"/>
      <c r="LSR186" s="298"/>
      <c r="LSS186" s="298"/>
      <c r="LST186" s="298"/>
      <c r="LSU186" s="298"/>
      <c r="LSV186" s="298"/>
      <c r="LSW186" s="298"/>
      <c r="LSX186" s="298"/>
      <c r="LSY186" s="298"/>
      <c r="LSZ186" s="298"/>
      <c r="LTA186" s="298"/>
      <c r="LTB186" s="298"/>
      <c r="LTC186" s="298"/>
      <c r="LTD186" s="298"/>
      <c r="LTE186" s="298"/>
      <c r="LTF186" s="298"/>
      <c r="LTG186" s="298"/>
      <c r="LTH186" s="298"/>
      <c r="LTI186" s="298"/>
      <c r="LTJ186" s="298"/>
      <c r="LTK186" s="298"/>
      <c r="LTL186" s="298"/>
      <c r="LTM186" s="298"/>
      <c r="LTN186" s="298"/>
      <c r="LTO186" s="298"/>
      <c r="LTP186" s="298"/>
      <c r="LTQ186" s="298"/>
      <c r="LTR186" s="298"/>
      <c r="LTS186" s="298"/>
      <c r="LTT186" s="298"/>
      <c r="LTU186" s="298"/>
      <c r="LTV186" s="298"/>
      <c r="LTW186" s="298"/>
      <c r="LTX186" s="298"/>
      <c r="LTY186" s="298"/>
      <c r="LTZ186" s="298"/>
      <c r="LUA186" s="298"/>
      <c r="LUB186" s="298"/>
      <c r="LUC186" s="298"/>
      <c r="LUD186" s="298"/>
      <c r="LUE186" s="298"/>
      <c r="LUF186" s="298"/>
      <c r="LUG186" s="298"/>
      <c r="LUH186" s="298"/>
      <c r="LUI186" s="298"/>
      <c r="LUJ186" s="298"/>
      <c r="LUK186" s="298"/>
      <c r="LUL186" s="298"/>
      <c r="LUM186" s="298"/>
      <c r="LUN186" s="298"/>
      <c r="LUO186" s="298"/>
      <c r="LUP186" s="298"/>
      <c r="LUQ186" s="298"/>
      <c r="LUR186" s="298"/>
      <c r="LUS186" s="298"/>
      <c r="LUT186" s="298"/>
      <c r="LUU186" s="298"/>
      <c r="LUV186" s="298"/>
      <c r="LUW186" s="298"/>
      <c r="LUX186" s="298"/>
      <c r="LUY186" s="298"/>
      <c r="LUZ186" s="298"/>
      <c r="LVA186" s="298"/>
      <c r="LVB186" s="298"/>
      <c r="LVC186" s="298"/>
      <c r="LVD186" s="298"/>
      <c r="LVE186" s="298"/>
      <c r="LVF186" s="298"/>
      <c r="LVG186" s="298"/>
      <c r="LVH186" s="298"/>
      <c r="LVI186" s="298"/>
      <c r="LVJ186" s="298"/>
      <c r="LVK186" s="298"/>
      <c r="LVL186" s="298"/>
      <c r="LVM186" s="298"/>
      <c r="LVN186" s="298"/>
      <c r="LVO186" s="298"/>
      <c r="LVP186" s="298"/>
      <c r="LVQ186" s="298"/>
      <c r="LVR186" s="298"/>
      <c r="LVS186" s="298"/>
      <c r="LVT186" s="298"/>
      <c r="LVU186" s="298"/>
      <c r="LVV186" s="298"/>
      <c r="LVW186" s="298"/>
      <c r="LVX186" s="298"/>
      <c r="LVY186" s="298"/>
      <c r="LVZ186" s="298"/>
      <c r="LWA186" s="298"/>
      <c r="LWB186" s="298"/>
      <c r="LWC186" s="298"/>
      <c r="LWD186" s="298"/>
      <c r="LWE186" s="298"/>
      <c r="LWF186" s="298"/>
      <c r="LWG186" s="298"/>
      <c r="LWH186" s="298"/>
      <c r="LWI186" s="298"/>
      <c r="LWJ186" s="298"/>
      <c r="LWK186" s="298"/>
      <c r="LWL186" s="298"/>
      <c r="LWM186" s="298"/>
      <c r="LWN186" s="298"/>
      <c r="LWO186" s="298"/>
      <c r="LWP186" s="298"/>
      <c r="LWQ186" s="298"/>
      <c r="LWR186" s="298"/>
      <c r="LWS186" s="298"/>
      <c r="LWT186" s="298"/>
      <c r="LWU186" s="298"/>
      <c r="LWV186" s="298"/>
      <c r="LWW186" s="298"/>
      <c r="LWX186" s="298"/>
      <c r="LWY186" s="298"/>
      <c r="LWZ186" s="298"/>
      <c r="LXA186" s="298"/>
      <c r="LXB186" s="298"/>
      <c r="LXC186" s="298"/>
      <c r="LXD186" s="298"/>
      <c r="LXE186" s="298"/>
      <c r="LXF186" s="298"/>
      <c r="LXG186" s="298"/>
      <c r="LXH186" s="298"/>
      <c r="LXI186" s="298"/>
      <c r="LXJ186" s="298"/>
      <c r="LXK186" s="298"/>
      <c r="LXL186" s="298"/>
      <c r="LXM186" s="298"/>
      <c r="LXN186" s="298"/>
      <c r="LXO186" s="298"/>
      <c r="LXP186" s="298"/>
      <c r="LXQ186" s="298"/>
      <c r="LXR186" s="298"/>
      <c r="LXS186" s="298"/>
      <c r="LXT186" s="298"/>
      <c r="LXU186" s="298"/>
      <c r="LXV186" s="298"/>
      <c r="LXW186" s="298"/>
      <c r="LXX186" s="298"/>
      <c r="LXY186" s="298"/>
      <c r="LXZ186" s="298"/>
      <c r="LYA186" s="298"/>
      <c r="LYB186" s="298"/>
      <c r="LYC186" s="298"/>
      <c r="LYD186" s="298"/>
      <c r="LYE186" s="298"/>
      <c r="LYF186" s="298"/>
      <c r="LYG186" s="298"/>
      <c r="LYH186" s="298"/>
      <c r="LYI186" s="298"/>
      <c r="LYJ186" s="298"/>
      <c r="LYK186" s="298"/>
      <c r="LYL186" s="298"/>
      <c r="LYM186" s="298"/>
      <c r="LYN186" s="298"/>
      <c r="LYO186" s="298"/>
      <c r="LYP186" s="298"/>
      <c r="LYQ186" s="298"/>
      <c r="LYR186" s="298"/>
      <c r="LYS186" s="298"/>
      <c r="LYT186" s="298"/>
      <c r="LYU186" s="298"/>
      <c r="LYV186" s="298"/>
      <c r="LYW186" s="298"/>
      <c r="LYX186" s="298"/>
      <c r="LYY186" s="298"/>
      <c r="LYZ186" s="298"/>
      <c r="LZA186" s="298"/>
      <c r="LZB186" s="298"/>
      <c r="LZC186" s="298"/>
      <c r="LZD186" s="298"/>
      <c r="LZE186" s="298"/>
      <c r="LZF186" s="298"/>
      <c r="LZG186" s="298"/>
      <c r="LZH186" s="298"/>
      <c r="LZI186" s="298"/>
      <c r="LZJ186" s="298"/>
      <c r="LZK186" s="298"/>
      <c r="LZL186" s="298"/>
      <c r="LZM186" s="298"/>
      <c r="LZN186" s="298"/>
      <c r="LZO186" s="298"/>
      <c r="LZP186" s="298"/>
      <c r="LZQ186" s="298"/>
      <c r="LZR186" s="298"/>
      <c r="LZS186" s="298"/>
      <c r="LZT186" s="298"/>
      <c r="LZU186" s="298"/>
      <c r="LZV186" s="298"/>
      <c r="LZW186" s="298"/>
      <c r="LZX186" s="298"/>
      <c r="LZY186" s="298"/>
      <c r="LZZ186" s="298"/>
      <c r="MAA186" s="298"/>
      <c r="MAB186" s="298"/>
      <c r="MAC186" s="298"/>
      <c r="MAD186" s="298"/>
      <c r="MAE186" s="298"/>
      <c r="MAF186" s="298"/>
      <c r="MAG186" s="298"/>
      <c r="MAH186" s="298"/>
      <c r="MAI186" s="298"/>
      <c r="MAJ186" s="298"/>
      <c r="MAK186" s="298"/>
      <c r="MAL186" s="298"/>
      <c r="MAM186" s="298"/>
      <c r="MAN186" s="298"/>
      <c r="MAO186" s="298"/>
      <c r="MAP186" s="298"/>
      <c r="MAQ186" s="298"/>
      <c r="MAR186" s="298"/>
      <c r="MAS186" s="298"/>
      <c r="MAT186" s="298"/>
      <c r="MAU186" s="298"/>
      <c r="MAV186" s="298"/>
      <c r="MAW186" s="298"/>
      <c r="MAX186" s="298"/>
      <c r="MAY186" s="298"/>
      <c r="MAZ186" s="298"/>
      <c r="MBA186" s="298"/>
      <c r="MBB186" s="298"/>
      <c r="MBC186" s="298"/>
      <c r="MBD186" s="298"/>
      <c r="MBE186" s="298"/>
      <c r="MBF186" s="298"/>
      <c r="MBG186" s="298"/>
      <c r="MBH186" s="298"/>
      <c r="MBI186" s="298"/>
      <c r="MBJ186" s="298"/>
      <c r="MBK186" s="298"/>
      <c r="MBL186" s="298"/>
      <c r="MBM186" s="298"/>
      <c r="MBN186" s="298"/>
      <c r="MBO186" s="298"/>
      <c r="MBP186" s="298"/>
      <c r="MBQ186" s="298"/>
      <c r="MBR186" s="298"/>
      <c r="MBS186" s="298"/>
      <c r="MBT186" s="298"/>
      <c r="MBU186" s="298"/>
      <c r="MBV186" s="298"/>
      <c r="MBW186" s="298"/>
      <c r="MBX186" s="298"/>
      <c r="MBY186" s="298"/>
      <c r="MBZ186" s="298"/>
      <c r="MCA186" s="298"/>
      <c r="MCB186" s="298"/>
      <c r="MCC186" s="298"/>
      <c r="MCD186" s="298"/>
      <c r="MCE186" s="298"/>
      <c r="MCF186" s="298"/>
      <c r="MCG186" s="298"/>
      <c r="MCH186" s="298"/>
      <c r="MCI186" s="298"/>
      <c r="MCJ186" s="298"/>
      <c r="MCK186" s="298"/>
      <c r="MCL186" s="298"/>
      <c r="MCM186" s="298"/>
      <c r="MCN186" s="298"/>
      <c r="MCO186" s="298"/>
      <c r="MCP186" s="298"/>
      <c r="MCQ186" s="298"/>
      <c r="MCR186" s="298"/>
      <c r="MCS186" s="298"/>
      <c r="MCT186" s="298"/>
      <c r="MCU186" s="298"/>
      <c r="MCV186" s="298"/>
      <c r="MCW186" s="298"/>
      <c r="MCX186" s="298"/>
      <c r="MCY186" s="298"/>
      <c r="MCZ186" s="298"/>
      <c r="MDA186" s="298"/>
      <c r="MDB186" s="298"/>
      <c r="MDC186" s="298"/>
      <c r="MDD186" s="298"/>
      <c r="MDE186" s="298"/>
      <c r="MDF186" s="298"/>
      <c r="MDG186" s="298"/>
      <c r="MDH186" s="298"/>
      <c r="MDI186" s="298"/>
      <c r="MDJ186" s="298"/>
      <c r="MDK186" s="298"/>
      <c r="MDL186" s="298"/>
      <c r="MDM186" s="298"/>
      <c r="MDN186" s="298"/>
      <c r="MDO186" s="298"/>
      <c r="MDP186" s="298"/>
      <c r="MDQ186" s="298"/>
      <c r="MDR186" s="298"/>
      <c r="MDS186" s="298"/>
      <c r="MDT186" s="298"/>
      <c r="MDU186" s="298"/>
      <c r="MDV186" s="298"/>
      <c r="MDW186" s="298"/>
      <c r="MDX186" s="298"/>
      <c r="MDY186" s="298"/>
      <c r="MDZ186" s="298"/>
      <c r="MEA186" s="298"/>
      <c r="MEB186" s="298"/>
      <c r="MEC186" s="298"/>
      <c r="MED186" s="298"/>
      <c r="MEE186" s="298"/>
      <c r="MEF186" s="298"/>
      <c r="MEG186" s="298"/>
      <c r="MEH186" s="298"/>
      <c r="MEI186" s="298"/>
      <c r="MEJ186" s="298"/>
      <c r="MEK186" s="298"/>
      <c r="MEL186" s="298"/>
      <c r="MEM186" s="298"/>
      <c r="MEN186" s="298"/>
      <c r="MEO186" s="298"/>
      <c r="MEP186" s="298"/>
      <c r="MEQ186" s="298"/>
      <c r="MER186" s="298"/>
      <c r="MES186" s="298"/>
      <c r="MET186" s="298"/>
      <c r="MEU186" s="298"/>
      <c r="MEV186" s="298"/>
      <c r="MEW186" s="298"/>
      <c r="MEX186" s="298"/>
      <c r="MEY186" s="298"/>
      <c r="MEZ186" s="298"/>
      <c r="MFA186" s="298"/>
      <c r="MFB186" s="298"/>
      <c r="MFC186" s="298"/>
      <c r="MFD186" s="298"/>
      <c r="MFE186" s="298"/>
      <c r="MFF186" s="298"/>
      <c r="MFG186" s="298"/>
      <c r="MFH186" s="298"/>
      <c r="MFI186" s="298"/>
      <c r="MFJ186" s="298"/>
      <c r="MFK186" s="298"/>
      <c r="MFL186" s="298"/>
      <c r="MFM186" s="298"/>
      <c r="MFN186" s="298"/>
      <c r="MFO186" s="298"/>
      <c r="MFP186" s="298"/>
      <c r="MFQ186" s="298"/>
      <c r="MFR186" s="298"/>
      <c r="MFS186" s="298"/>
      <c r="MFT186" s="298"/>
      <c r="MFU186" s="298"/>
      <c r="MFV186" s="298"/>
      <c r="MFW186" s="298"/>
      <c r="MFX186" s="298"/>
      <c r="MFY186" s="298"/>
      <c r="MFZ186" s="298"/>
      <c r="MGA186" s="298"/>
      <c r="MGB186" s="298"/>
      <c r="MGC186" s="298"/>
      <c r="MGD186" s="298"/>
      <c r="MGE186" s="298"/>
      <c r="MGF186" s="298"/>
      <c r="MGG186" s="298"/>
      <c r="MGH186" s="298"/>
      <c r="MGI186" s="298"/>
      <c r="MGJ186" s="298"/>
      <c r="MGK186" s="298"/>
      <c r="MGL186" s="298"/>
      <c r="MGM186" s="298"/>
      <c r="MGN186" s="298"/>
      <c r="MGO186" s="298"/>
      <c r="MGP186" s="298"/>
      <c r="MGQ186" s="298"/>
      <c r="MGR186" s="298"/>
      <c r="MGS186" s="298"/>
      <c r="MGT186" s="298"/>
      <c r="MGU186" s="298"/>
      <c r="MGV186" s="298"/>
      <c r="MGW186" s="298"/>
      <c r="MGX186" s="298"/>
      <c r="MGY186" s="298"/>
      <c r="MGZ186" s="298"/>
      <c r="MHA186" s="298"/>
      <c r="MHB186" s="298"/>
      <c r="MHC186" s="298"/>
      <c r="MHD186" s="298"/>
      <c r="MHE186" s="298"/>
      <c r="MHF186" s="298"/>
      <c r="MHG186" s="298"/>
      <c r="MHH186" s="298"/>
      <c r="MHI186" s="298"/>
      <c r="MHJ186" s="298"/>
      <c r="MHK186" s="298"/>
      <c r="MHL186" s="298"/>
      <c r="MHM186" s="298"/>
      <c r="MHN186" s="298"/>
      <c r="MHO186" s="298"/>
      <c r="MHP186" s="298"/>
      <c r="MHQ186" s="298"/>
      <c r="MHR186" s="298"/>
      <c r="MHS186" s="298"/>
      <c r="MHT186" s="298"/>
      <c r="MHU186" s="298"/>
      <c r="MHV186" s="298"/>
      <c r="MHW186" s="298"/>
      <c r="MHX186" s="298"/>
      <c r="MHY186" s="298"/>
      <c r="MHZ186" s="298"/>
      <c r="MIA186" s="298"/>
      <c r="MIB186" s="298"/>
      <c r="MIC186" s="298"/>
      <c r="MID186" s="298"/>
      <c r="MIE186" s="298"/>
      <c r="MIF186" s="298"/>
      <c r="MIG186" s="298"/>
      <c r="MIH186" s="298"/>
      <c r="MII186" s="298"/>
      <c r="MIJ186" s="298"/>
      <c r="MIK186" s="298"/>
      <c r="MIL186" s="298"/>
      <c r="MIM186" s="298"/>
      <c r="MIN186" s="298"/>
      <c r="MIO186" s="298"/>
      <c r="MIP186" s="298"/>
      <c r="MIQ186" s="298"/>
      <c r="MIR186" s="298"/>
      <c r="MIS186" s="298"/>
      <c r="MIT186" s="298"/>
      <c r="MIU186" s="298"/>
      <c r="MIV186" s="298"/>
      <c r="MIW186" s="298"/>
      <c r="MIX186" s="298"/>
      <c r="MIY186" s="298"/>
      <c r="MIZ186" s="298"/>
      <c r="MJA186" s="298"/>
      <c r="MJB186" s="298"/>
      <c r="MJC186" s="298"/>
      <c r="MJD186" s="298"/>
      <c r="MJE186" s="298"/>
      <c r="MJF186" s="298"/>
      <c r="MJG186" s="298"/>
      <c r="MJH186" s="298"/>
      <c r="MJI186" s="298"/>
      <c r="MJJ186" s="298"/>
      <c r="MJK186" s="298"/>
      <c r="MJL186" s="298"/>
      <c r="MJM186" s="298"/>
      <c r="MJN186" s="298"/>
      <c r="MJO186" s="298"/>
      <c r="MJP186" s="298"/>
      <c r="MJQ186" s="298"/>
      <c r="MJR186" s="298"/>
      <c r="MJS186" s="298"/>
      <c r="MJT186" s="298"/>
      <c r="MJU186" s="298"/>
      <c r="MJV186" s="298"/>
      <c r="MJW186" s="298"/>
      <c r="MJX186" s="298"/>
      <c r="MJY186" s="298"/>
      <c r="MJZ186" s="298"/>
      <c r="MKA186" s="298"/>
      <c r="MKB186" s="298"/>
      <c r="MKC186" s="298"/>
      <c r="MKD186" s="298"/>
      <c r="MKE186" s="298"/>
      <c r="MKF186" s="298"/>
      <c r="MKG186" s="298"/>
      <c r="MKH186" s="298"/>
      <c r="MKI186" s="298"/>
      <c r="MKJ186" s="298"/>
      <c r="MKK186" s="298"/>
      <c r="MKL186" s="298"/>
      <c r="MKM186" s="298"/>
      <c r="MKN186" s="298"/>
      <c r="MKO186" s="298"/>
      <c r="MKP186" s="298"/>
      <c r="MKQ186" s="298"/>
      <c r="MKR186" s="298"/>
      <c r="MKS186" s="298"/>
      <c r="MKT186" s="298"/>
      <c r="MKU186" s="298"/>
      <c r="MKV186" s="298"/>
      <c r="MKW186" s="298"/>
      <c r="MKX186" s="298"/>
      <c r="MKY186" s="298"/>
      <c r="MKZ186" s="298"/>
      <c r="MLA186" s="298"/>
      <c r="MLB186" s="298"/>
      <c r="MLC186" s="298"/>
      <c r="MLD186" s="298"/>
      <c r="MLE186" s="298"/>
      <c r="MLF186" s="298"/>
      <c r="MLG186" s="298"/>
      <c r="MLH186" s="298"/>
      <c r="MLI186" s="298"/>
      <c r="MLJ186" s="298"/>
      <c r="MLK186" s="298"/>
      <c r="MLL186" s="298"/>
      <c r="MLM186" s="298"/>
      <c r="MLN186" s="298"/>
      <c r="MLO186" s="298"/>
      <c r="MLP186" s="298"/>
      <c r="MLQ186" s="298"/>
      <c r="MLR186" s="298"/>
      <c r="MLS186" s="298"/>
      <c r="MLT186" s="298"/>
      <c r="MLU186" s="298"/>
      <c r="MLV186" s="298"/>
      <c r="MLW186" s="298"/>
      <c r="MLX186" s="298"/>
      <c r="MLY186" s="298"/>
      <c r="MLZ186" s="298"/>
      <c r="MMA186" s="298"/>
      <c r="MMB186" s="298"/>
      <c r="MMC186" s="298"/>
      <c r="MMD186" s="298"/>
      <c r="MME186" s="298"/>
      <c r="MMF186" s="298"/>
      <c r="MMG186" s="298"/>
      <c r="MMH186" s="298"/>
      <c r="MMI186" s="298"/>
      <c r="MMJ186" s="298"/>
      <c r="MMK186" s="298"/>
      <c r="MML186" s="298"/>
      <c r="MMM186" s="298"/>
      <c r="MMN186" s="298"/>
      <c r="MMO186" s="298"/>
      <c r="MMP186" s="298"/>
      <c r="MMQ186" s="298"/>
      <c r="MMR186" s="298"/>
      <c r="MMS186" s="298"/>
      <c r="MMT186" s="298"/>
      <c r="MMU186" s="298"/>
      <c r="MMV186" s="298"/>
      <c r="MMW186" s="298"/>
      <c r="MMX186" s="298"/>
      <c r="MMY186" s="298"/>
      <c r="MMZ186" s="298"/>
      <c r="MNA186" s="298"/>
      <c r="MNB186" s="298"/>
      <c r="MNC186" s="298"/>
      <c r="MND186" s="298"/>
      <c r="MNE186" s="298"/>
      <c r="MNF186" s="298"/>
      <c r="MNG186" s="298"/>
      <c r="MNH186" s="298"/>
      <c r="MNI186" s="298"/>
      <c r="MNJ186" s="298"/>
      <c r="MNK186" s="298"/>
      <c r="MNL186" s="298"/>
      <c r="MNM186" s="298"/>
      <c r="MNN186" s="298"/>
      <c r="MNO186" s="298"/>
      <c r="MNP186" s="298"/>
      <c r="MNQ186" s="298"/>
      <c r="MNR186" s="298"/>
      <c r="MNS186" s="298"/>
      <c r="MNT186" s="298"/>
      <c r="MNU186" s="298"/>
      <c r="MNV186" s="298"/>
      <c r="MNW186" s="298"/>
      <c r="MNX186" s="298"/>
      <c r="MNY186" s="298"/>
      <c r="MNZ186" s="298"/>
      <c r="MOA186" s="298"/>
      <c r="MOB186" s="298"/>
      <c r="MOC186" s="298"/>
      <c r="MOD186" s="298"/>
      <c r="MOE186" s="298"/>
      <c r="MOF186" s="298"/>
      <c r="MOG186" s="298"/>
      <c r="MOH186" s="298"/>
      <c r="MOI186" s="298"/>
      <c r="MOJ186" s="298"/>
      <c r="MOK186" s="298"/>
      <c r="MOL186" s="298"/>
      <c r="MOM186" s="298"/>
      <c r="MON186" s="298"/>
      <c r="MOO186" s="298"/>
      <c r="MOP186" s="298"/>
      <c r="MOQ186" s="298"/>
      <c r="MOR186" s="298"/>
      <c r="MOS186" s="298"/>
      <c r="MOT186" s="298"/>
      <c r="MOU186" s="298"/>
      <c r="MOV186" s="298"/>
      <c r="MOW186" s="298"/>
      <c r="MOX186" s="298"/>
      <c r="MOY186" s="298"/>
      <c r="MOZ186" s="298"/>
      <c r="MPA186" s="298"/>
      <c r="MPB186" s="298"/>
      <c r="MPC186" s="298"/>
      <c r="MPD186" s="298"/>
      <c r="MPE186" s="298"/>
      <c r="MPF186" s="298"/>
      <c r="MPG186" s="298"/>
      <c r="MPH186" s="298"/>
      <c r="MPI186" s="298"/>
      <c r="MPJ186" s="298"/>
      <c r="MPK186" s="298"/>
      <c r="MPL186" s="298"/>
      <c r="MPM186" s="298"/>
      <c r="MPN186" s="298"/>
      <c r="MPO186" s="298"/>
      <c r="MPP186" s="298"/>
      <c r="MPQ186" s="298"/>
      <c r="MPR186" s="298"/>
      <c r="MPS186" s="298"/>
      <c r="MPT186" s="298"/>
      <c r="MPU186" s="298"/>
      <c r="MPV186" s="298"/>
      <c r="MPW186" s="298"/>
      <c r="MPX186" s="298"/>
      <c r="MPY186" s="298"/>
      <c r="MPZ186" s="298"/>
      <c r="MQA186" s="298"/>
      <c r="MQB186" s="298"/>
      <c r="MQC186" s="298"/>
      <c r="MQD186" s="298"/>
      <c r="MQE186" s="298"/>
      <c r="MQF186" s="298"/>
      <c r="MQG186" s="298"/>
      <c r="MQH186" s="298"/>
      <c r="MQI186" s="298"/>
      <c r="MQJ186" s="298"/>
      <c r="MQK186" s="298"/>
      <c r="MQL186" s="298"/>
      <c r="MQM186" s="298"/>
      <c r="MQN186" s="298"/>
      <c r="MQO186" s="298"/>
      <c r="MQP186" s="298"/>
      <c r="MQQ186" s="298"/>
      <c r="MQR186" s="298"/>
      <c r="MQS186" s="298"/>
      <c r="MQT186" s="298"/>
      <c r="MQU186" s="298"/>
      <c r="MQV186" s="298"/>
      <c r="MQW186" s="298"/>
      <c r="MQX186" s="298"/>
      <c r="MQY186" s="298"/>
      <c r="MQZ186" s="298"/>
      <c r="MRA186" s="298"/>
      <c r="MRB186" s="298"/>
      <c r="MRC186" s="298"/>
      <c r="MRD186" s="298"/>
      <c r="MRE186" s="298"/>
      <c r="MRF186" s="298"/>
      <c r="MRG186" s="298"/>
      <c r="MRH186" s="298"/>
      <c r="MRI186" s="298"/>
      <c r="MRJ186" s="298"/>
      <c r="MRK186" s="298"/>
      <c r="MRL186" s="298"/>
      <c r="MRM186" s="298"/>
      <c r="MRN186" s="298"/>
      <c r="MRO186" s="298"/>
      <c r="MRP186" s="298"/>
      <c r="MRQ186" s="298"/>
      <c r="MRR186" s="298"/>
      <c r="MRS186" s="298"/>
      <c r="MRT186" s="298"/>
      <c r="MRU186" s="298"/>
      <c r="MRV186" s="298"/>
      <c r="MRW186" s="298"/>
      <c r="MRX186" s="298"/>
      <c r="MRY186" s="298"/>
      <c r="MRZ186" s="298"/>
      <c r="MSA186" s="298"/>
      <c r="MSB186" s="298"/>
      <c r="MSC186" s="298"/>
      <c r="MSD186" s="298"/>
      <c r="MSE186" s="298"/>
      <c r="MSF186" s="298"/>
      <c r="MSG186" s="298"/>
      <c r="MSH186" s="298"/>
      <c r="MSI186" s="298"/>
      <c r="MSJ186" s="298"/>
      <c r="MSK186" s="298"/>
      <c r="MSL186" s="298"/>
      <c r="MSM186" s="298"/>
      <c r="MSN186" s="298"/>
      <c r="MSO186" s="298"/>
      <c r="MSP186" s="298"/>
      <c r="MSQ186" s="298"/>
      <c r="MSR186" s="298"/>
      <c r="MSS186" s="298"/>
      <c r="MST186" s="298"/>
      <c r="MSU186" s="298"/>
      <c r="MSV186" s="298"/>
      <c r="MSW186" s="298"/>
      <c r="MSX186" s="298"/>
      <c r="MSY186" s="298"/>
      <c r="MSZ186" s="298"/>
      <c r="MTA186" s="298"/>
      <c r="MTB186" s="298"/>
      <c r="MTC186" s="298"/>
      <c r="MTD186" s="298"/>
      <c r="MTE186" s="298"/>
      <c r="MTF186" s="298"/>
      <c r="MTG186" s="298"/>
      <c r="MTH186" s="298"/>
      <c r="MTI186" s="298"/>
      <c r="MTJ186" s="298"/>
      <c r="MTK186" s="298"/>
      <c r="MTL186" s="298"/>
      <c r="MTM186" s="298"/>
      <c r="MTN186" s="298"/>
      <c r="MTO186" s="298"/>
      <c r="MTP186" s="298"/>
      <c r="MTQ186" s="298"/>
      <c r="MTR186" s="298"/>
      <c r="MTS186" s="298"/>
      <c r="MTT186" s="298"/>
      <c r="MTU186" s="298"/>
      <c r="MTV186" s="298"/>
      <c r="MTW186" s="298"/>
      <c r="MTX186" s="298"/>
      <c r="MTY186" s="298"/>
      <c r="MTZ186" s="298"/>
      <c r="MUA186" s="298"/>
      <c r="MUB186" s="298"/>
      <c r="MUC186" s="298"/>
      <c r="MUD186" s="298"/>
      <c r="MUE186" s="298"/>
      <c r="MUF186" s="298"/>
      <c r="MUG186" s="298"/>
      <c r="MUH186" s="298"/>
      <c r="MUI186" s="298"/>
      <c r="MUJ186" s="298"/>
      <c r="MUK186" s="298"/>
      <c r="MUL186" s="298"/>
      <c r="MUM186" s="298"/>
      <c r="MUN186" s="298"/>
      <c r="MUO186" s="298"/>
      <c r="MUP186" s="298"/>
      <c r="MUQ186" s="298"/>
      <c r="MUR186" s="298"/>
      <c r="MUS186" s="298"/>
      <c r="MUT186" s="298"/>
      <c r="MUU186" s="298"/>
      <c r="MUV186" s="298"/>
      <c r="MUW186" s="298"/>
      <c r="MUX186" s="298"/>
      <c r="MUY186" s="298"/>
      <c r="MUZ186" s="298"/>
      <c r="MVA186" s="298"/>
      <c r="MVB186" s="298"/>
      <c r="MVC186" s="298"/>
      <c r="MVD186" s="298"/>
      <c r="MVE186" s="298"/>
      <c r="MVF186" s="298"/>
      <c r="MVG186" s="298"/>
      <c r="MVH186" s="298"/>
      <c r="MVI186" s="298"/>
      <c r="MVJ186" s="298"/>
      <c r="MVK186" s="298"/>
      <c r="MVL186" s="298"/>
      <c r="MVM186" s="298"/>
      <c r="MVN186" s="298"/>
      <c r="MVO186" s="298"/>
      <c r="MVP186" s="298"/>
      <c r="MVQ186" s="298"/>
      <c r="MVR186" s="298"/>
      <c r="MVS186" s="298"/>
      <c r="MVT186" s="298"/>
      <c r="MVU186" s="298"/>
      <c r="MVV186" s="298"/>
      <c r="MVW186" s="298"/>
      <c r="MVX186" s="298"/>
      <c r="MVY186" s="298"/>
      <c r="MVZ186" s="298"/>
      <c r="MWA186" s="298"/>
      <c r="MWB186" s="298"/>
      <c r="MWC186" s="298"/>
      <c r="MWD186" s="298"/>
      <c r="MWE186" s="298"/>
      <c r="MWF186" s="298"/>
      <c r="MWG186" s="298"/>
      <c r="MWH186" s="298"/>
      <c r="MWI186" s="298"/>
      <c r="MWJ186" s="298"/>
      <c r="MWK186" s="298"/>
      <c r="MWL186" s="298"/>
      <c r="MWM186" s="298"/>
      <c r="MWN186" s="298"/>
      <c r="MWO186" s="298"/>
      <c r="MWP186" s="298"/>
      <c r="MWQ186" s="298"/>
      <c r="MWR186" s="298"/>
      <c r="MWS186" s="298"/>
      <c r="MWT186" s="298"/>
      <c r="MWU186" s="298"/>
      <c r="MWV186" s="298"/>
      <c r="MWW186" s="298"/>
      <c r="MWX186" s="298"/>
      <c r="MWY186" s="298"/>
      <c r="MWZ186" s="298"/>
      <c r="MXA186" s="298"/>
      <c r="MXB186" s="298"/>
      <c r="MXC186" s="298"/>
      <c r="MXD186" s="298"/>
      <c r="MXE186" s="298"/>
      <c r="MXF186" s="298"/>
      <c r="MXG186" s="298"/>
      <c r="MXH186" s="298"/>
      <c r="MXI186" s="298"/>
      <c r="MXJ186" s="298"/>
      <c r="MXK186" s="298"/>
      <c r="MXL186" s="298"/>
      <c r="MXM186" s="298"/>
      <c r="MXN186" s="298"/>
      <c r="MXO186" s="298"/>
      <c r="MXP186" s="298"/>
      <c r="MXQ186" s="298"/>
      <c r="MXR186" s="298"/>
      <c r="MXS186" s="298"/>
      <c r="MXT186" s="298"/>
      <c r="MXU186" s="298"/>
      <c r="MXV186" s="298"/>
      <c r="MXW186" s="298"/>
      <c r="MXX186" s="298"/>
      <c r="MXY186" s="298"/>
      <c r="MXZ186" s="298"/>
      <c r="MYA186" s="298"/>
      <c r="MYB186" s="298"/>
      <c r="MYC186" s="298"/>
      <c r="MYD186" s="298"/>
      <c r="MYE186" s="298"/>
      <c r="MYF186" s="298"/>
      <c r="MYG186" s="298"/>
      <c r="MYH186" s="298"/>
      <c r="MYI186" s="298"/>
      <c r="MYJ186" s="298"/>
      <c r="MYK186" s="298"/>
      <c r="MYL186" s="298"/>
      <c r="MYM186" s="298"/>
      <c r="MYN186" s="298"/>
      <c r="MYO186" s="298"/>
      <c r="MYP186" s="298"/>
      <c r="MYQ186" s="298"/>
      <c r="MYR186" s="298"/>
      <c r="MYS186" s="298"/>
      <c r="MYT186" s="298"/>
      <c r="MYU186" s="298"/>
      <c r="MYV186" s="298"/>
      <c r="MYW186" s="298"/>
      <c r="MYX186" s="298"/>
      <c r="MYY186" s="298"/>
      <c r="MYZ186" s="298"/>
      <c r="MZA186" s="298"/>
      <c r="MZB186" s="298"/>
      <c r="MZC186" s="298"/>
      <c r="MZD186" s="298"/>
      <c r="MZE186" s="298"/>
      <c r="MZF186" s="298"/>
      <c r="MZG186" s="298"/>
      <c r="MZH186" s="298"/>
      <c r="MZI186" s="298"/>
      <c r="MZJ186" s="298"/>
      <c r="MZK186" s="298"/>
      <c r="MZL186" s="298"/>
      <c r="MZM186" s="298"/>
      <c r="MZN186" s="298"/>
      <c r="MZO186" s="298"/>
      <c r="MZP186" s="298"/>
      <c r="MZQ186" s="298"/>
      <c r="MZR186" s="298"/>
      <c r="MZS186" s="298"/>
      <c r="MZT186" s="298"/>
      <c r="MZU186" s="298"/>
      <c r="MZV186" s="298"/>
      <c r="MZW186" s="298"/>
      <c r="MZX186" s="298"/>
      <c r="MZY186" s="298"/>
      <c r="MZZ186" s="298"/>
      <c r="NAA186" s="298"/>
      <c r="NAB186" s="298"/>
      <c r="NAC186" s="298"/>
      <c r="NAD186" s="298"/>
      <c r="NAE186" s="298"/>
      <c r="NAF186" s="298"/>
      <c r="NAG186" s="298"/>
      <c r="NAH186" s="298"/>
      <c r="NAI186" s="298"/>
      <c r="NAJ186" s="298"/>
      <c r="NAK186" s="298"/>
      <c r="NAL186" s="298"/>
      <c r="NAM186" s="298"/>
      <c r="NAN186" s="298"/>
      <c r="NAO186" s="298"/>
      <c r="NAP186" s="298"/>
      <c r="NAQ186" s="298"/>
      <c r="NAR186" s="298"/>
      <c r="NAS186" s="298"/>
      <c r="NAT186" s="298"/>
      <c r="NAU186" s="298"/>
      <c r="NAV186" s="298"/>
      <c r="NAW186" s="298"/>
      <c r="NAX186" s="298"/>
      <c r="NAY186" s="298"/>
      <c r="NAZ186" s="298"/>
      <c r="NBA186" s="298"/>
      <c r="NBB186" s="298"/>
      <c r="NBC186" s="298"/>
      <c r="NBD186" s="298"/>
      <c r="NBE186" s="298"/>
      <c r="NBF186" s="298"/>
      <c r="NBG186" s="298"/>
      <c r="NBH186" s="298"/>
      <c r="NBI186" s="298"/>
      <c r="NBJ186" s="298"/>
      <c r="NBK186" s="298"/>
      <c r="NBL186" s="298"/>
      <c r="NBM186" s="298"/>
      <c r="NBN186" s="298"/>
      <c r="NBO186" s="298"/>
      <c r="NBP186" s="298"/>
      <c r="NBQ186" s="298"/>
      <c r="NBR186" s="298"/>
      <c r="NBS186" s="298"/>
      <c r="NBT186" s="298"/>
      <c r="NBU186" s="298"/>
      <c r="NBV186" s="298"/>
      <c r="NBW186" s="298"/>
      <c r="NBX186" s="298"/>
      <c r="NBY186" s="298"/>
      <c r="NBZ186" s="298"/>
      <c r="NCA186" s="298"/>
      <c r="NCB186" s="298"/>
      <c r="NCC186" s="298"/>
      <c r="NCD186" s="298"/>
      <c r="NCE186" s="298"/>
      <c r="NCF186" s="298"/>
      <c r="NCG186" s="298"/>
      <c r="NCH186" s="298"/>
      <c r="NCI186" s="298"/>
      <c r="NCJ186" s="298"/>
      <c r="NCK186" s="298"/>
      <c r="NCL186" s="298"/>
      <c r="NCM186" s="298"/>
      <c r="NCN186" s="298"/>
      <c r="NCO186" s="298"/>
      <c r="NCP186" s="298"/>
      <c r="NCQ186" s="298"/>
      <c r="NCR186" s="298"/>
      <c r="NCS186" s="298"/>
      <c r="NCT186" s="298"/>
      <c r="NCU186" s="298"/>
      <c r="NCV186" s="298"/>
      <c r="NCW186" s="298"/>
      <c r="NCX186" s="298"/>
      <c r="NCY186" s="298"/>
      <c r="NCZ186" s="298"/>
      <c r="NDA186" s="298"/>
      <c r="NDB186" s="298"/>
      <c r="NDC186" s="298"/>
      <c r="NDD186" s="298"/>
      <c r="NDE186" s="298"/>
      <c r="NDF186" s="298"/>
      <c r="NDG186" s="298"/>
      <c r="NDH186" s="298"/>
      <c r="NDI186" s="298"/>
      <c r="NDJ186" s="298"/>
      <c r="NDK186" s="298"/>
      <c r="NDL186" s="298"/>
      <c r="NDM186" s="298"/>
      <c r="NDN186" s="298"/>
      <c r="NDO186" s="298"/>
      <c r="NDP186" s="298"/>
      <c r="NDQ186" s="298"/>
      <c r="NDR186" s="298"/>
      <c r="NDS186" s="298"/>
      <c r="NDT186" s="298"/>
      <c r="NDU186" s="298"/>
      <c r="NDV186" s="298"/>
      <c r="NDW186" s="298"/>
      <c r="NDX186" s="298"/>
      <c r="NDY186" s="298"/>
      <c r="NDZ186" s="298"/>
      <c r="NEA186" s="298"/>
      <c r="NEB186" s="298"/>
      <c r="NEC186" s="298"/>
      <c r="NED186" s="298"/>
      <c r="NEE186" s="298"/>
      <c r="NEF186" s="298"/>
      <c r="NEG186" s="298"/>
      <c r="NEH186" s="298"/>
      <c r="NEI186" s="298"/>
      <c r="NEJ186" s="298"/>
      <c r="NEK186" s="298"/>
      <c r="NEL186" s="298"/>
      <c r="NEM186" s="298"/>
      <c r="NEN186" s="298"/>
      <c r="NEO186" s="298"/>
      <c r="NEP186" s="298"/>
      <c r="NEQ186" s="298"/>
      <c r="NER186" s="298"/>
      <c r="NES186" s="298"/>
      <c r="NET186" s="298"/>
      <c r="NEU186" s="298"/>
      <c r="NEV186" s="298"/>
      <c r="NEW186" s="298"/>
      <c r="NEX186" s="298"/>
      <c r="NEY186" s="298"/>
      <c r="NEZ186" s="298"/>
      <c r="NFA186" s="298"/>
      <c r="NFB186" s="298"/>
      <c r="NFC186" s="298"/>
      <c r="NFD186" s="298"/>
      <c r="NFE186" s="298"/>
      <c r="NFF186" s="298"/>
      <c r="NFG186" s="298"/>
      <c r="NFH186" s="298"/>
      <c r="NFI186" s="298"/>
      <c r="NFJ186" s="298"/>
      <c r="NFK186" s="298"/>
      <c r="NFL186" s="298"/>
      <c r="NFM186" s="298"/>
      <c r="NFN186" s="298"/>
      <c r="NFO186" s="298"/>
      <c r="NFP186" s="298"/>
      <c r="NFQ186" s="298"/>
      <c r="NFR186" s="298"/>
      <c r="NFS186" s="298"/>
      <c r="NFT186" s="298"/>
      <c r="NFU186" s="298"/>
      <c r="NFV186" s="298"/>
      <c r="NFW186" s="298"/>
      <c r="NFX186" s="298"/>
      <c r="NFY186" s="298"/>
      <c r="NFZ186" s="298"/>
      <c r="NGA186" s="298"/>
      <c r="NGB186" s="298"/>
      <c r="NGC186" s="298"/>
      <c r="NGD186" s="298"/>
      <c r="NGE186" s="298"/>
      <c r="NGF186" s="298"/>
      <c r="NGG186" s="298"/>
      <c r="NGH186" s="298"/>
      <c r="NGI186" s="298"/>
      <c r="NGJ186" s="298"/>
      <c r="NGK186" s="298"/>
      <c r="NGL186" s="298"/>
      <c r="NGM186" s="298"/>
      <c r="NGN186" s="298"/>
      <c r="NGO186" s="298"/>
      <c r="NGP186" s="298"/>
      <c r="NGQ186" s="298"/>
      <c r="NGR186" s="298"/>
      <c r="NGS186" s="298"/>
      <c r="NGT186" s="298"/>
      <c r="NGU186" s="298"/>
      <c r="NGV186" s="298"/>
      <c r="NGW186" s="298"/>
      <c r="NGX186" s="298"/>
      <c r="NGY186" s="298"/>
      <c r="NGZ186" s="298"/>
      <c r="NHA186" s="298"/>
      <c r="NHB186" s="298"/>
      <c r="NHC186" s="298"/>
      <c r="NHD186" s="298"/>
      <c r="NHE186" s="298"/>
      <c r="NHF186" s="298"/>
      <c r="NHG186" s="298"/>
      <c r="NHH186" s="298"/>
      <c r="NHI186" s="298"/>
      <c r="NHJ186" s="298"/>
      <c r="NHK186" s="298"/>
      <c r="NHL186" s="298"/>
      <c r="NHM186" s="298"/>
      <c r="NHN186" s="298"/>
      <c r="NHO186" s="298"/>
      <c r="NHP186" s="298"/>
      <c r="NHQ186" s="298"/>
      <c r="NHR186" s="298"/>
      <c r="NHS186" s="298"/>
      <c r="NHT186" s="298"/>
      <c r="NHU186" s="298"/>
      <c r="NHV186" s="298"/>
      <c r="NHW186" s="298"/>
      <c r="NHX186" s="298"/>
      <c r="NHY186" s="298"/>
      <c r="NHZ186" s="298"/>
      <c r="NIA186" s="298"/>
      <c r="NIB186" s="298"/>
      <c r="NIC186" s="298"/>
      <c r="NID186" s="298"/>
      <c r="NIE186" s="298"/>
      <c r="NIF186" s="298"/>
      <c r="NIG186" s="298"/>
      <c r="NIH186" s="298"/>
      <c r="NII186" s="298"/>
      <c r="NIJ186" s="298"/>
      <c r="NIK186" s="298"/>
      <c r="NIL186" s="298"/>
      <c r="NIM186" s="298"/>
      <c r="NIN186" s="298"/>
      <c r="NIO186" s="298"/>
      <c r="NIP186" s="298"/>
      <c r="NIQ186" s="298"/>
      <c r="NIR186" s="298"/>
      <c r="NIS186" s="298"/>
      <c r="NIT186" s="298"/>
      <c r="NIU186" s="298"/>
      <c r="NIV186" s="298"/>
      <c r="NIW186" s="298"/>
      <c r="NIX186" s="298"/>
      <c r="NIY186" s="298"/>
      <c r="NIZ186" s="298"/>
      <c r="NJA186" s="298"/>
      <c r="NJB186" s="298"/>
      <c r="NJC186" s="298"/>
      <c r="NJD186" s="298"/>
      <c r="NJE186" s="298"/>
      <c r="NJF186" s="298"/>
      <c r="NJG186" s="298"/>
      <c r="NJH186" s="298"/>
      <c r="NJI186" s="298"/>
      <c r="NJJ186" s="298"/>
      <c r="NJK186" s="298"/>
      <c r="NJL186" s="298"/>
      <c r="NJM186" s="298"/>
      <c r="NJN186" s="298"/>
      <c r="NJO186" s="298"/>
      <c r="NJP186" s="298"/>
      <c r="NJQ186" s="298"/>
      <c r="NJR186" s="298"/>
      <c r="NJS186" s="298"/>
      <c r="NJT186" s="298"/>
      <c r="NJU186" s="298"/>
      <c r="NJV186" s="298"/>
      <c r="NJW186" s="298"/>
      <c r="NJX186" s="298"/>
      <c r="NJY186" s="298"/>
      <c r="NJZ186" s="298"/>
      <c r="NKA186" s="298"/>
      <c r="NKB186" s="298"/>
      <c r="NKC186" s="298"/>
      <c r="NKD186" s="298"/>
      <c r="NKE186" s="298"/>
      <c r="NKF186" s="298"/>
      <c r="NKG186" s="298"/>
      <c r="NKH186" s="298"/>
      <c r="NKI186" s="298"/>
      <c r="NKJ186" s="298"/>
      <c r="NKK186" s="298"/>
      <c r="NKL186" s="298"/>
      <c r="NKM186" s="298"/>
      <c r="NKN186" s="298"/>
      <c r="NKO186" s="298"/>
      <c r="NKP186" s="298"/>
      <c r="NKQ186" s="298"/>
      <c r="NKR186" s="298"/>
      <c r="NKS186" s="298"/>
      <c r="NKT186" s="298"/>
      <c r="NKU186" s="298"/>
      <c r="NKV186" s="298"/>
      <c r="NKW186" s="298"/>
      <c r="NKX186" s="298"/>
      <c r="NKY186" s="298"/>
      <c r="NKZ186" s="298"/>
      <c r="NLA186" s="298"/>
      <c r="NLB186" s="298"/>
      <c r="NLC186" s="298"/>
      <c r="NLD186" s="298"/>
      <c r="NLE186" s="298"/>
      <c r="NLF186" s="298"/>
      <c r="NLG186" s="298"/>
      <c r="NLH186" s="298"/>
      <c r="NLI186" s="298"/>
      <c r="NLJ186" s="298"/>
      <c r="NLK186" s="298"/>
      <c r="NLL186" s="298"/>
      <c r="NLM186" s="298"/>
      <c r="NLN186" s="298"/>
      <c r="NLO186" s="298"/>
      <c r="NLP186" s="298"/>
      <c r="NLQ186" s="298"/>
      <c r="NLR186" s="298"/>
      <c r="NLS186" s="298"/>
      <c r="NLT186" s="298"/>
      <c r="NLU186" s="298"/>
      <c r="NLV186" s="298"/>
      <c r="NLW186" s="298"/>
      <c r="NLX186" s="298"/>
      <c r="NLY186" s="298"/>
      <c r="NLZ186" s="298"/>
      <c r="NMA186" s="298"/>
      <c r="NMB186" s="298"/>
      <c r="NMC186" s="298"/>
      <c r="NMD186" s="298"/>
      <c r="NME186" s="298"/>
      <c r="NMF186" s="298"/>
      <c r="NMG186" s="298"/>
      <c r="NMH186" s="298"/>
      <c r="NMI186" s="298"/>
      <c r="NMJ186" s="298"/>
      <c r="NMK186" s="298"/>
      <c r="NML186" s="298"/>
      <c r="NMM186" s="298"/>
      <c r="NMN186" s="298"/>
      <c r="NMO186" s="298"/>
      <c r="NMP186" s="298"/>
      <c r="NMQ186" s="298"/>
      <c r="NMR186" s="298"/>
      <c r="NMS186" s="298"/>
      <c r="NMT186" s="298"/>
      <c r="NMU186" s="298"/>
      <c r="NMV186" s="298"/>
      <c r="NMW186" s="298"/>
      <c r="NMX186" s="298"/>
      <c r="NMY186" s="298"/>
      <c r="NMZ186" s="298"/>
      <c r="NNA186" s="298"/>
      <c r="NNB186" s="298"/>
      <c r="NNC186" s="298"/>
      <c r="NND186" s="298"/>
      <c r="NNE186" s="298"/>
      <c r="NNF186" s="298"/>
      <c r="NNG186" s="298"/>
      <c r="NNH186" s="298"/>
      <c r="NNI186" s="298"/>
      <c r="NNJ186" s="298"/>
      <c r="NNK186" s="298"/>
      <c r="NNL186" s="298"/>
      <c r="NNM186" s="298"/>
      <c r="NNN186" s="298"/>
      <c r="NNO186" s="298"/>
      <c r="NNP186" s="298"/>
      <c r="NNQ186" s="298"/>
      <c r="NNR186" s="298"/>
      <c r="NNS186" s="298"/>
      <c r="NNT186" s="298"/>
      <c r="NNU186" s="298"/>
      <c r="NNV186" s="298"/>
      <c r="NNW186" s="298"/>
      <c r="NNX186" s="298"/>
      <c r="NNY186" s="298"/>
      <c r="NNZ186" s="298"/>
      <c r="NOA186" s="298"/>
      <c r="NOB186" s="298"/>
      <c r="NOC186" s="298"/>
      <c r="NOD186" s="298"/>
      <c r="NOE186" s="298"/>
      <c r="NOF186" s="298"/>
      <c r="NOG186" s="298"/>
      <c r="NOH186" s="298"/>
      <c r="NOI186" s="298"/>
      <c r="NOJ186" s="298"/>
      <c r="NOK186" s="298"/>
      <c r="NOL186" s="298"/>
      <c r="NOM186" s="298"/>
      <c r="NON186" s="298"/>
      <c r="NOO186" s="298"/>
      <c r="NOP186" s="298"/>
      <c r="NOQ186" s="298"/>
      <c r="NOR186" s="298"/>
      <c r="NOS186" s="298"/>
      <c r="NOT186" s="298"/>
      <c r="NOU186" s="298"/>
      <c r="NOV186" s="298"/>
      <c r="NOW186" s="298"/>
      <c r="NOX186" s="298"/>
      <c r="NOY186" s="298"/>
      <c r="NOZ186" s="298"/>
      <c r="NPA186" s="298"/>
      <c r="NPB186" s="298"/>
      <c r="NPC186" s="298"/>
      <c r="NPD186" s="298"/>
      <c r="NPE186" s="298"/>
      <c r="NPF186" s="298"/>
      <c r="NPG186" s="298"/>
      <c r="NPH186" s="298"/>
      <c r="NPI186" s="298"/>
      <c r="NPJ186" s="298"/>
      <c r="NPK186" s="298"/>
      <c r="NPL186" s="298"/>
      <c r="NPM186" s="298"/>
      <c r="NPN186" s="298"/>
      <c r="NPO186" s="298"/>
      <c r="NPP186" s="298"/>
      <c r="NPQ186" s="298"/>
      <c r="NPR186" s="298"/>
      <c r="NPS186" s="298"/>
      <c r="NPT186" s="298"/>
      <c r="NPU186" s="298"/>
      <c r="NPV186" s="298"/>
      <c r="NPW186" s="298"/>
      <c r="NPX186" s="298"/>
      <c r="NPY186" s="298"/>
      <c r="NPZ186" s="298"/>
      <c r="NQA186" s="298"/>
      <c r="NQB186" s="298"/>
      <c r="NQC186" s="298"/>
      <c r="NQD186" s="298"/>
      <c r="NQE186" s="298"/>
      <c r="NQF186" s="298"/>
      <c r="NQG186" s="298"/>
      <c r="NQH186" s="298"/>
      <c r="NQI186" s="298"/>
      <c r="NQJ186" s="298"/>
      <c r="NQK186" s="298"/>
      <c r="NQL186" s="298"/>
      <c r="NQM186" s="298"/>
      <c r="NQN186" s="298"/>
      <c r="NQO186" s="298"/>
      <c r="NQP186" s="298"/>
      <c r="NQQ186" s="298"/>
      <c r="NQR186" s="298"/>
      <c r="NQS186" s="298"/>
      <c r="NQT186" s="298"/>
      <c r="NQU186" s="298"/>
      <c r="NQV186" s="298"/>
      <c r="NQW186" s="298"/>
      <c r="NQX186" s="298"/>
      <c r="NQY186" s="298"/>
      <c r="NQZ186" s="298"/>
      <c r="NRA186" s="298"/>
      <c r="NRB186" s="298"/>
      <c r="NRC186" s="298"/>
      <c r="NRD186" s="298"/>
      <c r="NRE186" s="298"/>
      <c r="NRF186" s="298"/>
      <c r="NRG186" s="298"/>
      <c r="NRH186" s="298"/>
      <c r="NRI186" s="298"/>
      <c r="NRJ186" s="298"/>
      <c r="NRK186" s="298"/>
      <c r="NRL186" s="298"/>
      <c r="NRM186" s="298"/>
      <c r="NRN186" s="298"/>
      <c r="NRO186" s="298"/>
      <c r="NRP186" s="298"/>
      <c r="NRQ186" s="298"/>
      <c r="NRR186" s="298"/>
      <c r="NRS186" s="298"/>
      <c r="NRT186" s="298"/>
      <c r="NRU186" s="298"/>
      <c r="NRV186" s="298"/>
      <c r="NRW186" s="298"/>
      <c r="NRX186" s="298"/>
      <c r="NRY186" s="298"/>
      <c r="NRZ186" s="298"/>
      <c r="NSA186" s="298"/>
      <c r="NSB186" s="298"/>
      <c r="NSC186" s="298"/>
      <c r="NSD186" s="298"/>
      <c r="NSE186" s="298"/>
      <c r="NSF186" s="298"/>
      <c r="NSG186" s="298"/>
      <c r="NSH186" s="298"/>
      <c r="NSI186" s="298"/>
      <c r="NSJ186" s="298"/>
      <c r="NSK186" s="298"/>
      <c r="NSL186" s="298"/>
      <c r="NSM186" s="298"/>
      <c r="NSN186" s="298"/>
      <c r="NSO186" s="298"/>
      <c r="NSP186" s="298"/>
      <c r="NSQ186" s="298"/>
      <c r="NSR186" s="298"/>
      <c r="NSS186" s="298"/>
      <c r="NST186" s="298"/>
      <c r="NSU186" s="298"/>
      <c r="NSV186" s="298"/>
      <c r="NSW186" s="298"/>
      <c r="NSX186" s="298"/>
      <c r="NSY186" s="298"/>
      <c r="NSZ186" s="298"/>
      <c r="NTA186" s="298"/>
      <c r="NTB186" s="298"/>
      <c r="NTC186" s="298"/>
      <c r="NTD186" s="298"/>
      <c r="NTE186" s="298"/>
      <c r="NTF186" s="298"/>
      <c r="NTG186" s="298"/>
      <c r="NTH186" s="298"/>
      <c r="NTI186" s="298"/>
      <c r="NTJ186" s="298"/>
      <c r="NTK186" s="298"/>
      <c r="NTL186" s="298"/>
      <c r="NTM186" s="298"/>
      <c r="NTN186" s="298"/>
      <c r="NTO186" s="298"/>
      <c r="NTP186" s="298"/>
      <c r="NTQ186" s="298"/>
      <c r="NTR186" s="298"/>
      <c r="NTS186" s="298"/>
      <c r="NTT186" s="298"/>
      <c r="NTU186" s="298"/>
      <c r="NTV186" s="298"/>
      <c r="NTW186" s="298"/>
      <c r="NTX186" s="298"/>
      <c r="NTY186" s="298"/>
      <c r="NTZ186" s="298"/>
      <c r="NUA186" s="298"/>
      <c r="NUB186" s="298"/>
      <c r="NUC186" s="298"/>
      <c r="NUD186" s="298"/>
      <c r="NUE186" s="298"/>
      <c r="NUF186" s="298"/>
      <c r="NUG186" s="298"/>
      <c r="NUH186" s="298"/>
      <c r="NUI186" s="298"/>
      <c r="NUJ186" s="298"/>
      <c r="NUK186" s="298"/>
      <c r="NUL186" s="298"/>
      <c r="NUM186" s="298"/>
      <c r="NUN186" s="298"/>
      <c r="NUO186" s="298"/>
      <c r="NUP186" s="298"/>
      <c r="NUQ186" s="298"/>
      <c r="NUR186" s="298"/>
      <c r="NUS186" s="298"/>
      <c r="NUT186" s="298"/>
      <c r="NUU186" s="298"/>
      <c r="NUV186" s="298"/>
      <c r="NUW186" s="298"/>
      <c r="NUX186" s="298"/>
      <c r="NUY186" s="298"/>
      <c r="NUZ186" s="298"/>
      <c r="NVA186" s="298"/>
      <c r="NVB186" s="298"/>
      <c r="NVC186" s="298"/>
      <c r="NVD186" s="298"/>
      <c r="NVE186" s="298"/>
      <c r="NVF186" s="298"/>
      <c r="NVG186" s="298"/>
      <c r="NVH186" s="298"/>
      <c r="NVI186" s="298"/>
      <c r="NVJ186" s="298"/>
      <c r="NVK186" s="298"/>
      <c r="NVL186" s="298"/>
      <c r="NVM186" s="298"/>
      <c r="NVN186" s="298"/>
      <c r="NVO186" s="298"/>
      <c r="NVP186" s="298"/>
      <c r="NVQ186" s="298"/>
      <c r="NVR186" s="298"/>
      <c r="NVS186" s="298"/>
      <c r="NVT186" s="298"/>
      <c r="NVU186" s="298"/>
      <c r="NVV186" s="298"/>
      <c r="NVW186" s="298"/>
      <c r="NVX186" s="298"/>
      <c r="NVY186" s="298"/>
      <c r="NVZ186" s="298"/>
      <c r="NWA186" s="298"/>
      <c r="NWB186" s="298"/>
      <c r="NWC186" s="298"/>
      <c r="NWD186" s="298"/>
      <c r="NWE186" s="298"/>
      <c r="NWF186" s="298"/>
      <c r="NWG186" s="298"/>
      <c r="NWH186" s="298"/>
      <c r="NWI186" s="298"/>
      <c r="NWJ186" s="298"/>
      <c r="NWK186" s="298"/>
      <c r="NWL186" s="298"/>
      <c r="NWM186" s="298"/>
      <c r="NWN186" s="298"/>
      <c r="NWO186" s="298"/>
      <c r="NWP186" s="298"/>
      <c r="NWQ186" s="298"/>
      <c r="NWR186" s="298"/>
      <c r="NWS186" s="298"/>
      <c r="NWT186" s="298"/>
      <c r="NWU186" s="298"/>
      <c r="NWV186" s="298"/>
      <c r="NWW186" s="298"/>
      <c r="NWX186" s="298"/>
      <c r="NWY186" s="298"/>
      <c r="NWZ186" s="298"/>
      <c r="NXA186" s="298"/>
      <c r="NXB186" s="298"/>
      <c r="NXC186" s="298"/>
      <c r="NXD186" s="298"/>
      <c r="NXE186" s="298"/>
      <c r="NXF186" s="298"/>
      <c r="NXG186" s="298"/>
      <c r="NXH186" s="298"/>
      <c r="NXI186" s="298"/>
      <c r="NXJ186" s="298"/>
      <c r="NXK186" s="298"/>
      <c r="NXL186" s="298"/>
      <c r="NXM186" s="298"/>
      <c r="NXN186" s="298"/>
      <c r="NXO186" s="298"/>
      <c r="NXP186" s="298"/>
      <c r="NXQ186" s="298"/>
      <c r="NXR186" s="298"/>
      <c r="NXS186" s="298"/>
      <c r="NXT186" s="298"/>
      <c r="NXU186" s="298"/>
      <c r="NXV186" s="298"/>
      <c r="NXW186" s="298"/>
      <c r="NXX186" s="298"/>
      <c r="NXY186" s="298"/>
      <c r="NXZ186" s="298"/>
      <c r="NYA186" s="298"/>
      <c r="NYB186" s="298"/>
      <c r="NYC186" s="298"/>
      <c r="NYD186" s="298"/>
      <c r="NYE186" s="298"/>
      <c r="NYF186" s="298"/>
      <c r="NYG186" s="298"/>
      <c r="NYH186" s="298"/>
      <c r="NYI186" s="298"/>
      <c r="NYJ186" s="298"/>
      <c r="NYK186" s="298"/>
      <c r="NYL186" s="298"/>
      <c r="NYM186" s="298"/>
      <c r="NYN186" s="298"/>
      <c r="NYO186" s="298"/>
      <c r="NYP186" s="298"/>
      <c r="NYQ186" s="298"/>
      <c r="NYR186" s="298"/>
      <c r="NYS186" s="298"/>
      <c r="NYT186" s="298"/>
      <c r="NYU186" s="298"/>
      <c r="NYV186" s="298"/>
      <c r="NYW186" s="298"/>
      <c r="NYX186" s="298"/>
      <c r="NYY186" s="298"/>
      <c r="NYZ186" s="298"/>
      <c r="NZA186" s="298"/>
      <c r="NZB186" s="298"/>
      <c r="NZC186" s="298"/>
      <c r="NZD186" s="298"/>
      <c r="NZE186" s="298"/>
      <c r="NZF186" s="298"/>
      <c r="NZG186" s="298"/>
      <c r="NZH186" s="298"/>
      <c r="NZI186" s="298"/>
      <c r="NZJ186" s="298"/>
      <c r="NZK186" s="298"/>
      <c r="NZL186" s="298"/>
      <c r="NZM186" s="298"/>
      <c r="NZN186" s="298"/>
      <c r="NZO186" s="298"/>
      <c r="NZP186" s="298"/>
      <c r="NZQ186" s="298"/>
      <c r="NZR186" s="298"/>
      <c r="NZS186" s="298"/>
      <c r="NZT186" s="298"/>
      <c r="NZU186" s="298"/>
      <c r="NZV186" s="298"/>
      <c r="NZW186" s="298"/>
      <c r="NZX186" s="298"/>
      <c r="NZY186" s="298"/>
      <c r="NZZ186" s="298"/>
      <c r="OAA186" s="298"/>
      <c r="OAB186" s="298"/>
      <c r="OAC186" s="298"/>
      <c r="OAD186" s="298"/>
      <c r="OAE186" s="298"/>
      <c r="OAF186" s="298"/>
      <c r="OAG186" s="298"/>
      <c r="OAH186" s="298"/>
      <c r="OAI186" s="298"/>
      <c r="OAJ186" s="298"/>
      <c r="OAK186" s="298"/>
      <c r="OAL186" s="298"/>
      <c r="OAM186" s="298"/>
      <c r="OAN186" s="298"/>
      <c r="OAO186" s="298"/>
      <c r="OAP186" s="298"/>
      <c r="OAQ186" s="298"/>
      <c r="OAR186" s="298"/>
      <c r="OAS186" s="298"/>
      <c r="OAT186" s="298"/>
      <c r="OAU186" s="298"/>
      <c r="OAV186" s="298"/>
      <c r="OAW186" s="298"/>
      <c r="OAX186" s="298"/>
      <c r="OAY186" s="298"/>
      <c r="OAZ186" s="298"/>
      <c r="OBA186" s="298"/>
      <c r="OBB186" s="298"/>
      <c r="OBC186" s="298"/>
      <c r="OBD186" s="298"/>
      <c r="OBE186" s="298"/>
      <c r="OBF186" s="298"/>
      <c r="OBG186" s="298"/>
      <c r="OBH186" s="298"/>
      <c r="OBI186" s="298"/>
      <c r="OBJ186" s="298"/>
      <c r="OBK186" s="298"/>
      <c r="OBL186" s="298"/>
      <c r="OBM186" s="298"/>
      <c r="OBN186" s="298"/>
      <c r="OBO186" s="298"/>
      <c r="OBP186" s="298"/>
      <c r="OBQ186" s="298"/>
      <c r="OBR186" s="298"/>
      <c r="OBS186" s="298"/>
      <c r="OBT186" s="298"/>
      <c r="OBU186" s="298"/>
      <c r="OBV186" s="298"/>
      <c r="OBW186" s="298"/>
      <c r="OBX186" s="298"/>
      <c r="OBY186" s="298"/>
      <c r="OBZ186" s="298"/>
      <c r="OCA186" s="298"/>
      <c r="OCB186" s="298"/>
      <c r="OCC186" s="298"/>
      <c r="OCD186" s="298"/>
      <c r="OCE186" s="298"/>
      <c r="OCF186" s="298"/>
      <c r="OCG186" s="298"/>
      <c r="OCH186" s="298"/>
      <c r="OCI186" s="298"/>
      <c r="OCJ186" s="298"/>
      <c r="OCK186" s="298"/>
      <c r="OCL186" s="298"/>
      <c r="OCM186" s="298"/>
      <c r="OCN186" s="298"/>
      <c r="OCO186" s="298"/>
      <c r="OCP186" s="298"/>
      <c r="OCQ186" s="298"/>
      <c r="OCR186" s="298"/>
      <c r="OCS186" s="298"/>
      <c r="OCT186" s="298"/>
      <c r="OCU186" s="298"/>
      <c r="OCV186" s="298"/>
      <c r="OCW186" s="298"/>
      <c r="OCX186" s="298"/>
      <c r="OCY186" s="298"/>
      <c r="OCZ186" s="298"/>
      <c r="ODA186" s="298"/>
      <c r="ODB186" s="298"/>
      <c r="ODC186" s="298"/>
      <c r="ODD186" s="298"/>
      <c r="ODE186" s="298"/>
      <c r="ODF186" s="298"/>
      <c r="ODG186" s="298"/>
      <c r="ODH186" s="298"/>
      <c r="ODI186" s="298"/>
      <c r="ODJ186" s="298"/>
      <c r="ODK186" s="298"/>
      <c r="ODL186" s="298"/>
      <c r="ODM186" s="298"/>
      <c r="ODN186" s="298"/>
      <c r="ODO186" s="298"/>
      <c r="ODP186" s="298"/>
      <c r="ODQ186" s="298"/>
      <c r="ODR186" s="298"/>
      <c r="ODS186" s="298"/>
      <c r="ODT186" s="298"/>
      <c r="ODU186" s="298"/>
      <c r="ODV186" s="298"/>
      <c r="ODW186" s="298"/>
      <c r="ODX186" s="298"/>
      <c r="ODY186" s="298"/>
      <c r="ODZ186" s="298"/>
      <c r="OEA186" s="298"/>
      <c r="OEB186" s="298"/>
      <c r="OEC186" s="298"/>
      <c r="OED186" s="298"/>
      <c r="OEE186" s="298"/>
      <c r="OEF186" s="298"/>
      <c r="OEG186" s="298"/>
      <c r="OEH186" s="298"/>
      <c r="OEI186" s="298"/>
      <c r="OEJ186" s="298"/>
      <c r="OEK186" s="298"/>
      <c r="OEL186" s="298"/>
      <c r="OEM186" s="298"/>
      <c r="OEN186" s="298"/>
      <c r="OEO186" s="298"/>
      <c r="OEP186" s="298"/>
      <c r="OEQ186" s="298"/>
      <c r="OER186" s="298"/>
      <c r="OES186" s="298"/>
      <c r="OET186" s="298"/>
      <c r="OEU186" s="298"/>
      <c r="OEV186" s="298"/>
      <c r="OEW186" s="298"/>
      <c r="OEX186" s="298"/>
      <c r="OEY186" s="298"/>
      <c r="OEZ186" s="298"/>
      <c r="OFA186" s="298"/>
      <c r="OFB186" s="298"/>
      <c r="OFC186" s="298"/>
      <c r="OFD186" s="298"/>
      <c r="OFE186" s="298"/>
      <c r="OFF186" s="298"/>
      <c r="OFG186" s="298"/>
      <c r="OFH186" s="298"/>
      <c r="OFI186" s="298"/>
      <c r="OFJ186" s="298"/>
      <c r="OFK186" s="298"/>
      <c r="OFL186" s="298"/>
      <c r="OFM186" s="298"/>
      <c r="OFN186" s="298"/>
      <c r="OFO186" s="298"/>
      <c r="OFP186" s="298"/>
      <c r="OFQ186" s="298"/>
      <c r="OFR186" s="298"/>
      <c r="OFS186" s="298"/>
      <c r="OFT186" s="298"/>
      <c r="OFU186" s="298"/>
      <c r="OFV186" s="298"/>
      <c r="OFW186" s="298"/>
      <c r="OFX186" s="298"/>
      <c r="OFY186" s="298"/>
      <c r="OFZ186" s="298"/>
      <c r="OGA186" s="298"/>
      <c r="OGB186" s="298"/>
      <c r="OGC186" s="298"/>
      <c r="OGD186" s="298"/>
      <c r="OGE186" s="298"/>
      <c r="OGF186" s="298"/>
      <c r="OGG186" s="298"/>
      <c r="OGH186" s="298"/>
      <c r="OGI186" s="298"/>
      <c r="OGJ186" s="298"/>
      <c r="OGK186" s="298"/>
      <c r="OGL186" s="298"/>
      <c r="OGM186" s="298"/>
      <c r="OGN186" s="298"/>
      <c r="OGO186" s="298"/>
      <c r="OGP186" s="298"/>
      <c r="OGQ186" s="298"/>
      <c r="OGR186" s="298"/>
      <c r="OGS186" s="298"/>
      <c r="OGT186" s="298"/>
      <c r="OGU186" s="298"/>
      <c r="OGV186" s="298"/>
      <c r="OGW186" s="298"/>
      <c r="OGX186" s="298"/>
      <c r="OGY186" s="298"/>
      <c r="OGZ186" s="298"/>
      <c r="OHA186" s="298"/>
      <c r="OHB186" s="298"/>
      <c r="OHC186" s="298"/>
      <c r="OHD186" s="298"/>
      <c r="OHE186" s="298"/>
      <c r="OHF186" s="298"/>
      <c r="OHG186" s="298"/>
      <c r="OHH186" s="298"/>
      <c r="OHI186" s="298"/>
      <c r="OHJ186" s="298"/>
      <c r="OHK186" s="298"/>
      <c r="OHL186" s="298"/>
      <c r="OHM186" s="298"/>
      <c r="OHN186" s="298"/>
      <c r="OHO186" s="298"/>
      <c r="OHP186" s="298"/>
      <c r="OHQ186" s="298"/>
      <c r="OHR186" s="298"/>
      <c r="OHS186" s="298"/>
      <c r="OHT186" s="298"/>
      <c r="OHU186" s="298"/>
      <c r="OHV186" s="298"/>
      <c r="OHW186" s="298"/>
      <c r="OHX186" s="298"/>
      <c r="OHY186" s="298"/>
      <c r="OHZ186" s="298"/>
      <c r="OIA186" s="298"/>
      <c r="OIB186" s="298"/>
      <c r="OIC186" s="298"/>
      <c r="OID186" s="298"/>
      <c r="OIE186" s="298"/>
      <c r="OIF186" s="298"/>
      <c r="OIG186" s="298"/>
      <c r="OIH186" s="298"/>
      <c r="OII186" s="298"/>
      <c r="OIJ186" s="298"/>
      <c r="OIK186" s="298"/>
      <c r="OIL186" s="298"/>
      <c r="OIM186" s="298"/>
      <c r="OIN186" s="298"/>
      <c r="OIO186" s="298"/>
      <c r="OIP186" s="298"/>
      <c r="OIQ186" s="298"/>
      <c r="OIR186" s="298"/>
      <c r="OIS186" s="298"/>
      <c r="OIT186" s="298"/>
      <c r="OIU186" s="298"/>
      <c r="OIV186" s="298"/>
      <c r="OIW186" s="298"/>
      <c r="OIX186" s="298"/>
      <c r="OIY186" s="298"/>
      <c r="OIZ186" s="298"/>
      <c r="OJA186" s="298"/>
      <c r="OJB186" s="298"/>
      <c r="OJC186" s="298"/>
      <c r="OJD186" s="298"/>
      <c r="OJE186" s="298"/>
      <c r="OJF186" s="298"/>
      <c r="OJG186" s="298"/>
      <c r="OJH186" s="298"/>
      <c r="OJI186" s="298"/>
      <c r="OJJ186" s="298"/>
      <c r="OJK186" s="298"/>
      <c r="OJL186" s="298"/>
      <c r="OJM186" s="298"/>
      <c r="OJN186" s="298"/>
      <c r="OJO186" s="298"/>
      <c r="OJP186" s="298"/>
      <c r="OJQ186" s="298"/>
      <c r="OJR186" s="298"/>
      <c r="OJS186" s="298"/>
      <c r="OJT186" s="298"/>
      <c r="OJU186" s="298"/>
      <c r="OJV186" s="298"/>
      <c r="OJW186" s="298"/>
      <c r="OJX186" s="298"/>
      <c r="OJY186" s="298"/>
      <c r="OJZ186" s="298"/>
      <c r="OKA186" s="298"/>
      <c r="OKB186" s="298"/>
      <c r="OKC186" s="298"/>
      <c r="OKD186" s="298"/>
      <c r="OKE186" s="298"/>
      <c r="OKF186" s="298"/>
      <c r="OKG186" s="298"/>
      <c r="OKH186" s="298"/>
      <c r="OKI186" s="298"/>
      <c r="OKJ186" s="298"/>
      <c r="OKK186" s="298"/>
      <c r="OKL186" s="298"/>
      <c r="OKM186" s="298"/>
      <c r="OKN186" s="298"/>
      <c r="OKO186" s="298"/>
      <c r="OKP186" s="298"/>
      <c r="OKQ186" s="298"/>
      <c r="OKR186" s="298"/>
      <c r="OKS186" s="298"/>
      <c r="OKT186" s="298"/>
      <c r="OKU186" s="298"/>
      <c r="OKV186" s="298"/>
      <c r="OKW186" s="298"/>
      <c r="OKX186" s="298"/>
      <c r="OKY186" s="298"/>
      <c r="OKZ186" s="298"/>
      <c r="OLA186" s="298"/>
      <c r="OLB186" s="298"/>
      <c r="OLC186" s="298"/>
      <c r="OLD186" s="298"/>
      <c r="OLE186" s="298"/>
      <c r="OLF186" s="298"/>
      <c r="OLG186" s="298"/>
      <c r="OLH186" s="298"/>
      <c r="OLI186" s="298"/>
      <c r="OLJ186" s="298"/>
      <c r="OLK186" s="298"/>
      <c r="OLL186" s="298"/>
      <c r="OLM186" s="298"/>
      <c r="OLN186" s="298"/>
      <c r="OLO186" s="298"/>
      <c r="OLP186" s="298"/>
      <c r="OLQ186" s="298"/>
      <c r="OLR186" s="298"/>
      <c r="OLS186" s="298"/>
      <c r="OLT186" s="298"/>
      <c r="OLU186" s="298"/>
      <c r="OLV186" s="298"/>
      <c r="OLW186" s="298"/>
      <c r="OLX186" s="298"/>
      <c r="OLY186" s="298"/>
      <c r="OLZ186" s="298"/>
      <c r="OMA186" s="298"/>
      <c r="OMB186" s="298"/>
      <c r="OMC186" s="298"/>
      <c r="OMD186" s="298"/>
      <c r="OME186" s="298"/>
      <c r="OMF186" s="298"/>
      <c r="OMG186" s="298"/>
      <c r="OMH186" s="298"/>
      <c r="OMI186" s="298"/>
      <c r="OMJ186" s="298"/>
      <c r="OMK186" s="298"/>
      <c r="OML186" s="298"/>
      <c r="OMM186" s="298"/>
      <c r="OMN186" s="298"/>
      <c r="OMO186" s="298"/>
      <c r="OMP186" s="298"/>
      <c r="OMQ186" s="298"/>
      <c r="OMR186" s="298"/>
      <c r="OMS186" s="298"/>
      <c r="OMT186" s="298"/>
      <c r="OMU186" s="298"/>
      <c r="OMV186" s="298"/>
      <c r="OMW186" s="298"/>
      <c r="OMX186" s="298"/>
      <c r="OMY186" s="298"/>
      <c r="OMZ186" s="298"/>
      <c r="ONA186" s="298"/>
      <c r="ONB186" s="298"/>
      <c r="ONC186" s="298"/>
      <c r="OND186" s="298"/>
      <c r="ONE186" s="298"/>
      <c r="ONF186" s="298"/>
      <c r="ONG186" s="298"/>
      <c r="ONH186" s="298"/>
      <c r="ONI186" s="298"/>
      <c r="ONJ186" s="298"/>
      <c r="ONK186" s="298"/>
      <c r="ONL186" s="298"/>
      <c r="ONM186" s="298"/>
      <c r="ONN186" s="298"/>
      <c r="ONO186" s="298"/>
      <c r="ONP186" s="298"/>
      <c r="ONQ186" s="298"/>
      <c r="ONR186" s="298"/>
      <c r="ONS186" s="298"/>
      <c r="ONT186" s="298"/>
      <c r="ONU186" s="298"/>
      <c r="ONV186" s="298"/>
      <c r="ONW186" s="298"/>
      <c r="ONX186" s="298"/>
      <c r="ONY186" s="298"/>
      <c r="ONZ186" s="298"/>
      <c r="OOA186" s="298"/>
      <c r="OOB186" s="298"/>
      <c r="OOC186" s="298"/>
      <c r="OOD186" s="298"/>
      <c r="OOE186" s="298"/>
      <c r="OOF186" s="298"/>
      <c r="OOG186" s="298"/>
      <c r="OOH186" s="298"/>
      <c r="OOI186" s="298"/>
      <c r="OOJ186" s="298"/>
      <c r="OOK186" s="298"/>
      <c r="OOL186" s="298"/>
      <c r="OOM186" s="298"/>
      <c r="OON186" s="298"/>
      <c r="OOO186" s="298"/>
      <c r="OOP186" s="298"/>
      <c r="OOQ186" s="298"/>
      <c r="OOR186" s="298"/>
      <c r="OOS186" s="298"/>
      <c r="OOT186" s="298"/>
      <c r="OOU186" s="298"/>
      <c r="OOV186" s="298"/>
      <c r="OOW186" s="298"/>
      <c r="OOX186" s="298"/>
      <c r="OOY186" s="298"/>
      <c r="OOZ186" s="298"/>
      <c r="OPA186" s="298"/>
      <c r="OPB186" s="298"/>
      <c r="OPC186" s="298"/>
      <c r="OPD186" s="298"/>
      <c r="OPE186" s="298"/>
      <c r="OPF186" s="298"/>
      <c r="OPG186" s="298"/>
      <c r="OPH186" s="298"/>
      <c r="OPI186" s="298"/>
      <c r="OPJ186" s="298"/>
      <c r="OPK186" s="298"/>
      <c r="OPL186" s="298"/>
      <c r="OPM186" s="298"/>
      <c r="OPN186" s="298"/>
      <c r="OPO186" s="298"/>
      <c r="OPP186" s="298"/>
      <c r="OPQ186" s="298"/>
      <c r="OPR186" s="298"/>
      <c r="OPS186" s="298"/>
      <c r="OPT186" s="298"/>
      <c r="OPU186" s="298"/>
      <c r="OPV186" s="298"/>
      <c r="OPW186" s="298"/>
      <c r="OPX186" s="298"/>
      <c r="OPY186" s="298"/>
      <c r="OPZ186" s="298"/>
      <c r="OQA186" s="298"/>
      <c r="OQB186" s="298"/>
      <c r="OQC186" s="298"/>
      <c r="OQD186" s="298"/>
      <c r="OQE186" s="298"/>
      <c r="OQF186" s="298"/>
      <c r="OQG186" s="298"/>
      <c r="OQH186" s="298"/>
      <c r="OQI186" s="298"/>
      <c r="OQJ186" s="298"/>
      <c r="OQK186" s="298"/>
      <c r="OQL186" s="298"/>
      <c r="OQM186" s="298"/>
      <c r="OQN186" s="298"/>
      <c r="OQO186" s="298"/>
      <c r="OQP186" s="298"/>
      <c r="OQQ186" s="298"/>
      <c r="OQR186" s="298"/>
      <c r="OQS186" s="298"/>
      <c r="OQT186" s="298"/>
      <c r="OQU186" s="298"/>
      <c r="OQV186" s="298"/>
      <c r="OQW186" s="298"/>
      <c r="OQX186" s="298"/>
      <c r="OQY186" s="298"/>
      <c r="OQZ186" s="298"/>
      <c r="ORA186" s="298"/>
      <c r="ORB186" s="298"/>
      <c r="ORC186" s="298"/>
      <c r="ORD186" s="298"/>
      <c r="ORE186" s="298"/>
      <c r="ORF186" s="298"/>
      <c r="ORG186" s="298"/>
      <c r="ORH186" s="298"/>
      <c r="ORI186" s="298"/>
      <c r="ORJ186" s="298"/>
      <c r="ORK186" s="298"/>
      <c r="ORL186" s="298"/>
      <c r="ORM186" s="298"/>
      <c r="ORN186" s="298"/>
      <c r="ORO186" s="298"/>
      <c r="ORP186" s="298"/>
      <c r="ORQ186" s="298"/>
      <c r="ORR186" s="298"/>
      <c r="ORS186" s="298"/>
      <c r="ORT186" s="298"/>
      <c r="ORU186" s="298"/>
      <c r="ORV186" s="298"/>
      <c r="ORW186" s="298"/>
      <c r="ORX186" s="298"/>
      <c r="ORY186" s="298"/>
      <c r="ORZ186" s="298"/>
      <c r="OSA186" s="298"/>
      <c r="OSB186" s="298"/>
      <c r="OSC186" s="298"/>
      <c r="OSD186" s="298"/>
      <c r="OSE186" s="298"/>
      <c r="OSF186" s="298"/>
      <c r="OSG186" s="298"/>
      <c r="OSH186" s="298"/>
      <c r="OSI186" s="298"/>
      <c r="OSJ186" s="298"/>
      <c r="OSK186" s="298"/>
      <c r="OSL186" s="298"/>
      <c r="OSM186" s="298"/>
      <c r="OSN186" s="298"/>
      <c r="OSO186" s="298"/>
      <c r="OSP186" s="298"/>
      <c r="OSQ186" s="298"/>
      <c r="OSR186" s="298"/>
      <c r="OSS186" s="298"/>
      <c r="OST186" s="298"/>
      <c r="OSU186" s="298"/>
      <c r="OSV186" s="298"/>
      <c r="OSW186" s="298"/>
      <c r="OSX186" s="298"/>
      <c r="OSY186" s="298"/>
      <c r="OSZ186" s="298"/>
      <c r="OTA186" s="298"/>
      <c r="OTB186" s="298"/>
      <c r="OTC186" s="298"/>
      <c r="OTD186" s="298"/>
      <c r="OTE186" s="298"/>
      <c r="OTF186" s="298"/>
      <c r="OTG186" s="298"/>
      <c r="OTH186" s="298"/>
      <c r="OTI186" s="298"/>
      <c r="OTJ186" s="298"/>
      <c r="OTK186" s="298"/>
      <c r="OTL186" s="298"/>
      <c r="OTM186" s="298"/>
      <c r="OTN186" s="298"/>
      <c r="OTO186" s="298"/>
      <c r="OTP186" s="298"/>
      <c r="OTQ186" s="298"/>
      <c r="OTR186" s="298"/>
      <c r="OTS186" s="298"/>
      <c r="OTT186" s="298"/>
      <c r="OTU186" s="298"/>
      <c r="OTV186" s="298"/>
      <c r="OTW186" s="298"/>
      <c r="OTX186" s="298"/>
      <c r="OTY186" s="298"/>
      <c r="OTZ186" s="298"/>
      <c r="OUA186" s="298"/>
      <c r="OUB186" s="298"/>
      <c r="OUC186" s="298"/>
      <c r="OUD186" s="298"/>
      <c r="OUE186" s="298"/>
      <c r="OUF186" s="298"/>
      <c r="OUG186" s="298"/>
      <c r="OUH186" s="298"/>
      <c r="OUI186" s="298"/>
      <c r="OUJ186" s="298"/>
      <c r="OUK186" s="298"/>
      <c r="OUL186" s="298"/>
      <c r="OUM186" s="298"/>
      <c r="OUN186" s="298"/>
      <c r="OUO186" s="298"/>
      <c r="OUP186" s="298"/>
      <c r="OUQ186" s="298"/>
      <c r="OUR186" s="298"/>
      <c r="OUS186" s="298"/>
      <c r="OUT186" s="298"/>
      <c r="OUU186" s="298"/>
      <c r="OUV186" s="298"/>
      <c r="OUW186" s="298"/>
      <c r="OUX186" s="298"/>
      <c r="OUY186" s="298"/>
      <c r="OUZ186" s="298"/>
      <c r="OVA186" s="298"/>
      <c r="OVB186" s="298"/>
      <c r="OVC186" s="298"/>
      <c r="OVD186" s="298"/>
      <c r="OVE186" s="298"/>
      <c r="OVF186" s="298"/>
      <c r="OVG186" s="298"/>
      <c r="OVH186" s="298"/>
      <c r="OVI186" s="298"/>
      <c r="OVJ186" s="298"/>
      <c r="OVK186" s="298"/>
      <c r="OVL186" s="298"/>
      <c r="OVM186" s="298"/>
      <c r="OVN186" s="298"/>
      <c r="OVO186" s="298"/>
      <c r="OVP186" s="298"/>
      <c r="OVQ186" s="298"/>
      <c r="OVR186" s="298"/>
      <c r="OVS186" s="298"/>
      <c r="OVT186" s="298"/>
      <c r="OVU186" s="298"/>
      <c r="OVV186" s="298"/>
      <c r="OVW186" s="298"/>
      <c r="OVX186" s="298"/>
      <c r="OVY186" s="298"/>
      <c r="OVZ186" s="298"/>
      <c r="OWA186" s="298"/>
      <c r="OWB186" s="298"/>
      <c r="OWC186" s="298"/>
      <c r="OWD186" s="298"/>
      <c r="OWE186" s="298"/>
      <c r="OWF186" s="298"/>
      <c r="OWG186" s="298"/>
      <c r="OWH186" s="298"/>
      <c r="OWI186" s="298"/>
      <c r="OWJ186" s="298"/>
      <c r="OWK186" s="298"/>
      <c r="OWL186" s="298"/>
      <c r="OWM186" s="298"/>
      <c r="OWN186" s="298"/>
      <c r="OWO186" s="298"/>
      <c r="OWP186" s="298"/>
      <c r="OWQ186" s="298"/>
      <c r="OWR186" s="298"/>
      <c r="OWS186" s="298"/>
      <c r="OWT186" s="298"/>
      <c r="OWU186" s="298"/>
      <c r="OWV186" s="298"/>
      <c r="OWW186" s="298"/>
      <c r="OWX186" s="298"/>
      <c r="OWY186" s="298"/>
      <c r="OWZ186" s="298"/>
      <c r="OXA186" s="298"/>
      <c r="OXB186" s="298"/>
      <c r="OXC186" s="298"/>
      <c r="OXD186" s="298"/>
      <c r="OXE186" s="298"/>
      <c r="OXF186" s="298"/>
      <c r="OXG186" s="298"/>
      <c r="OXH186" s="298"/>
      <c r="OXI186" s="298"/>
      <c r="OXJ186" s="298"/>
      <c r="OXK186" s="298"/>
      <c r="OXL186" s="298"/>
      <c r="OXM186" s="298"/>
      <c r="OXN186" s="298"/>
      <c r="OXO186" s="298"/>
      <c r="OXP186" s="298"/>
      <c r="OXQ186" s="298"/>
      <c r="OXR186" s="298"/>
      <c r="OXS186" s="298"/>
      <c r="OXT186" s="298"/>
      <c r="OXU186" s="298"/>
      <c r="OXV186" s="298"/>
      <c r="OXW186" s="298"/>
      <c r="OXX186" s="298"/>
      <c r="OXY186" s="298"/>
      <c r="OXZ186" s="298"/>
      <c r="OYA186" s="298"/>
      <c r="OYB186" s="298"/>
      <c r="OYC186" s="298"/>
      <c r="OYD186" s="298"/>
      <c r="OYE186" s="298"/>
      <c r="OYF186" s="298"/>
      <c r="OYG186" s="298"/>
      <c r="OYH186" s="298"/>
      <c r="OYI186" s="298"/>
      <c r="OYJ186" s="298"/>
      <c r="OYK186" s="298"/>
      <c r="OYL186" s="298"/>
      <c r="OYM186" s="298"/>
      <c r="OYN186" s="298"/>
      <c r="OYO186" s="298"/>
      <c r="OYP186" s="298"/>
      <c r="OYQ186" s="298"/>
      <c r="OYR186" s="298"/>
      <c r="OYS186" s="298"/>
      <c r="OYT186" s="298"/>
      <c r="OYU186" s="298"/>
      <c r="OYV186" s="298"/>
      <c r="OYW186" s="298"/>
      <c r="OYX186" s="298"/>
      <c r="OYY186" s="298"/>
      <c r="OYZ186" s="298"/>
      <c r="OZA186" s="298"/>
      <c r="OZB186" s="298"/>
      <c r="OZC186" s="298"/>
      <c r="OZD186" s="298"/>
      <c r="OZE186" s="298"/>
      <c r="OZF186" s="298"/>
      <c r="OZG186" s="298"/>
      <c r="OZH186" s="298"/>
      <c r="OZI186" s="298"/>
      <c r="OZJ186" s="298"/>
      <c r="OZK186" s="298"/>
      <c r="OZL186" s="298"/>
      <c r="OZM186" s="298"/>
      <c r="OZN186" s="298"/>
      <c r="OZO186" s="298"/>
      <c r="OZP186" s="298"/>
      <c r="OZQ186" s="298"/>
      <c r="OZR186" s="298"/>
      <c r="OZS186" s="298"/>
      <c r="OZT186" s="298"/>
      <c r="OZU186" s="298"/>
      <c r="OZV186" s="298"/>
      <c r="OZW186" s="298"/>
      <c r="OZX186" s="298"/>
      <c r="OZY186" s="298"/>
      <c r="OZZ186" s="298"/>
      <c r="PAA186" s="298"/>
      <c r="PAB186" s="298"/>
      <c r="PAC186" s="298"/>
      <c r="PAD186" s="298"/>
      <c r="PAE186" s="298"/>
      <c r="PAF186" s="298"/>
      <c r="PAG186" s="298"/>
      <c r="PAH186" s="298"/>
      <c r="PAI186" s="298"/>
      <c r="PAJ186" s="298"/>
      <c r="PAK186" s="298"/>
      <c r="PAL186" s="298"/>
      <c r="PAM186" s="298"/>
      <c r="PAN186" s="298"/>
      <c r="PAO186" s="298"/>
      <c r="PAP186" s="298"/>
      <c r="PAQ186" s="298"/>
      <c r="PAR186" s="298"/>
      <c r="PAS186" s="298"/>
      <c r="PAT186" s="298"/>
      <c r="PAU186" s="298"/>
      <c r="PAV186" s="298"/>
      <c r="PAW186" s="298"/>
      <c r="PAX186" s="298"/>
      <c r="PAY186" s="298"/>
      <c r="PAZ186" s="298"/>
      <c r="PBA186" s="298"/>
      <c r="PBB186" s="298"/>
      <c r="PBC186" s="298"/>
      <c r="PBD186" s="298"/>
      <c r="PBE186" s="298"/>
      <c r="PBF186" s="298"/>
      <c r="PBG186" s="298"/>
      <c r="PBH186" s="298"/>
      <c r="PBI186" s="298"/>
      <c r="PBJ186" s="298"/>
      <c r="PBK186" s="298"/>
      <c r="PBL186" s="298"/>
      <c r="PBM186" s="298"/>
      <c r="PBN186" s="298"/>
      <c r="PBO186" s="298"/>
      <c r="PBP186" s="298"/>
      <c r="PBQ186" s="298"/>
      <c r="PBR186" s="298"/>
      <c r="PBS186" s="298"/>
      <c r="PBT186" s="298"/>
      <c r="PBU186" s="298"/>
      <c r="PBV186" s="298"/>
      <c r="PBW186" s="298"/>
      <c r="PBX186" s="298"/>
      <c r="PBY186" s="298"/>
      <c r="PBZ186" s="298"/>
      <c r="PCA186" s="298"/>
      <c r="PCB186" s="298"/>
      <c r="PCC186" s="298"/>
      <c r="PCD186" s="298"/>
      <c r="PCE186" s="298"/>
      <c r="PCF186" s="298"/>
      <c r="PCG186" s="298"/>
      <c r="PCH186" s="298"/>
      <c r="PCI186" s="298"/>
      <c r="PCJ186" s="298"/>
      <c r="PCK186" s="298"/>
      <c r="PCL186" s="298"/>
      <c r="PCM186" s="298"/>
      <c r="PCN186" s="298"/>
      <c r="PCO186" s="298"/>
      <c r="PCP186" s="298"/>
      <c r="PCQ186" s="298"/>
      <c r="PCR186" s="298"/>
      <c r="PCS186" s="298"/>
      <c r="PCT186" s="298"/>
      <c r="PCU186" s="298"/>
      <c r="PCV186" s="298"/>
      <c r="PCW186" s="298"/>
      <c r="PCX186" s="298"/>
      <c r="PCY186" s="298"/>
      <c r="PCZ186" s="298"/>
      <c r="PDA186" s="298"/>
      <c r="PDB186" s="298"/>
      <c r="PDC186" s="298"/>
      <c r="PDD186" s="298"/>
      <c r="PDE186" s="298"/>
      <c r="PDF186" s="298"/>
      <c r="PDG186" s="298"/>
      <c r="PDH186" s="298"/>
      <c r="PDI186" s="298"/>
      <c r="PDJ186" s="298"/>
      <c r="PDK186" s="298"/>
      <c r="PDL186" s="298"/>
      <c r="PDM186" s="298"/>
      <c r="PDN186" s="298"/>
      <c r="PDO186" s="298"/>
      <c r="PDP186" s="298"/>
      <c r="PDQ186" s="298"/>
      <c r="PDR186" s="298"/>
      <c r="PDS186" s="298"/>
      <c r="PDT186" s="298"/>
      <c r="PDU186" s="298"/>
      <c r="PDV186" s="298"/>
      <c r="PDW186" s="298"/>
      <c r="PDX186" s="298"/>
      <c r="PDY186" s="298"/>
      <c r="PDZ186" s="298"/>
      <c r="PEA186" s="298"/>
      <c r="PEB186" s="298"/>
      <c r="PEC186" s="298"/>
      <c r="PED186" s="298"/>
      <c r="PEE186" s="298"/>
      <c r="PEF186" s="298"/>
      <c r="PEG186" s="298"/>
      <c r="PEH186" s="298"/>
      <c r="PEI186" s="298"/>
      <c r="PEJ186" s="298"/>
      <c r="PEK186" s="298"/>
      <c r="PEL186" s="298"/>
      <c r="PEM186" s="298"/>
      <c r="PEN186" s="298"/>
      <c r="PEO186" s="298"/>
      <c r="PEP186" s="298"/>
      <c r="PEQ186" s="298"/>
      <c r="PER186" s="298"/>
      <c r="PES186" s="298"/>
      <c r="PET186" s="298"/>
      <c r="PEU186" s="298"/>
      <c r="PEV186" s="298"/>
      <c r="PEW186" s="298"/>
      <c r="PEX186" s="298"/>
      <c r="PEY186" s="298"/>
      <c r="PEZ186" s="298"/>
      <c r="PFA186" s="298"/>
      <c r="PFB186" s="298"/>
      <c r="PFC186" s="298"/>
      <c r="PFD186" s="298"/>
      <c r="PFE186" s="298"/>
      <c r="PFF186" s="298"/>
      <c r="PFG186" s="298"/>
      <c r="PFH186" s="298"/>
      <c r="PFI186" s="298"/>
      <c r="PFJ186" s="298"/>
      <c r="PFK186" s="298"/>
      <c r="PFL186" s="298"/>
      <c r="PFM186" s="298"/>
      <c r="PFN186" s="298"/>
      <c r="PFO186" s="298"/>
      <c r="PFP186" s="298"/>
      <c r="PFQ186" s="298"/>
      <c r="PFR186" s="298"/>
      <c r="PFS186" s="298"/>
      <c r="PFT186" s="298"/>
      <c r="PFU186" s="298"/>
      <c r="PFV186" s="298"/>
      <c r="PFW186" s="298"/>
      <c r="PFX186" s="298"/>
      <c r="PFY186" s="298"/>
      <c r="PFZ186" s="298"/>
      <c r="PGA186" s="298"/>
      <c r="PGB186" s="298"/>
      <c r="PGC186" s="298"/>
      <c r="PGD186" s="298"/>
      <c r="PGE186" s="298"/>
      <c r="PGF186" s="298"/>
      <c r="PGG186" s="298"/>
      <c r="PGH186" s="298"/>
      <c r="PGI186" s="298"/>
      <c r="PGJ186" s="298"/>
      <c r="PGK186" s="298"/>
      <c r="PGL186" s="298"/>
      <c r="PGM186" s="298"/>
      <c r="PGN186" s="298"/>
      <c r="PGO186" s="298"/>
      <c r="PGP186" s="298"/>
      <c r="PGQ186" s="298"/>
      <c r="PGR186" s="298"/>
      <c r="PGS186" s="298"/>
      <c r="PGT186" s="298"/>
      <c r="PGU186" s="298"/>
      <c r="PGV186" s="298"/>
      <c r="PGW186" s="298"/>
      <c r="PGX186" s="298"/>
      <c r="PGY186" s="298"/>
      <c r="PGZ186" s="298"/>
      <c r="PHA186" s="298"/>
      <c r="PHB186" s="298"/>
      <c r="PHC186" s="298"/>
      <c r="PHD186" s="298"/>
      <c r="PHE186" s="298"/>
      <c r="PHF186" s="298"/>
      <c r="PHG186" s="298"/>
      <c r="PHH186" s="298"/>
      <c r="PHI186" s="298"/>
      <c r="PHJ186" s="298"/>
      <c r="PHK186" s="298"/>
      <c r="PHL186" s="298"/>
      <c r="PHM186" s="298"/>
      <c r="PHN186" s="298"/>
      <c r="PHO186" s="298"/>
      <c r="PHP186" s="298"/>
      <c r="PHQ186" s="298"/>
      <c r="PHR186" s="298"/>
      <c r="PHS186" s="298"/>
      <c r="PHT186" s="298"/>
      <c r="PHU186" s="298"/>
      <c r="PHV186" s="298"/>
      <c r="PHW186" s="298"/>
      <c r="PHX186" s="298"/>
      <c r="PHY186" s="298"/>
      <c r="PHZ186" s="298"/>
      <c r="PIA186" s="298"/>
      <c r="PIB186" s="298"/>
      <c r="PIC186" s="298"/>
      <c r="PID186" s="298"/>
      <c r="PIE186" s="298"/>
      <c r="PIF186" s="298"/>
      <c r="PIG186" s="298"/>
      <c r="PIH186" s="298"/>
      <c r="PII186" s="298"/>
      <c r="PIJ186" s="298"/>
      <c r="PIK186" s="298"/>
      <c r="PIL186" s="298"/>
      <c r="PIM186" s="298"/>
      <c r="PIN186" s="298"/>
      <c r="PIO186" s="298"/>
      <c r="PIP186" s="298"/>
      <c r="PIQ186" s="298"/>
      <c r="PIR186" s="298"/>
      <c r="PIS186" s="298"/>
      <c r="PIT186" s="298"/>
      <c r="PIU186" s="298"/>
      <c r="PIV186" s="298"/>
      <c r="PIW186" s="298"/>
      <c r="PIX186" s="298"/>
      <c r="PIY186" s="298"/>
      <c r="PIZ186" s="298"/>
      <c r="PJA186" s="298"/>
      <c r="PJB186" s="298"/>
      <c r="PJC186" s="298"/>
      <c r="PJD186" s="298"/>
      <c r="PJE186" s="298"/>
      <c r="PJF186" s="298"/>
      <c r="PJG186" s="298"/>
      <c r="PJH186" s="298"/>
      <c r="PJI186" s="298"/>
      <c r="PJJ186" s="298"/>
      <c r="PJK186" s="298"/>
      <c r="PJL186" s="298"/>
      <c r="PJM186" s="298"/>
      <c r="PJN186" s="298"/>
      <c r="PJO186" s="298"/>
      <c r="PJP186" s="298"/>
      <c r="PJQ186" s="298"/>
      <c r="PJR186" s="298"/>
      <c r="PJS186" s="298"/>
      <c r="PJT186" s="298"/>
      <c r="PJU186" s="298"/>
      <c r="PJV186" s="298"/>
      <c r="PJW186" s="298"/>
      <c r="PJX186" s="298"/>
      <c r="PJY186" s="298"/>
      <c r="PJZ186" s="298"/>
      <c r="PKA186" s="298"/>
      <c r="PKB186" s="298"/>
      <c r="PKC186" s="298"/>
      <c r="PKD186" s="298"/>
      <c r="PKE186" s="298"/>
      <c r="PKF186" s="298"/>
      <c r="PKG186" s="298"/>
      <c r="PKH186" s="298"/>
      <c r="PKI186" s="298"/>
      <c r="PKJ186" s="298"/>
      <c r="PKK186" s="298"/>
      <c r="PKL186" s="298"/>
      <c r="PKM186" s="298"/>
      <c r="PKN186" s="298"/>
      <c r="PKO186" s="298"/>
      <c r="PKP186" s="298"/>
      <c r="PKQ186" s="298"/>
      <c r="PKR186" s="298"/>
      <c r="PKS186" s="298"/>
      <c r="PKT186" s="298"/>
      <c r="PKU186" s="298"/>
      <c r="PKV186" s="298"/>
      <c r="PKW186" s="298"/>
      <c r="PKX186" s="298"/>
      <c r="PKY186" s="298"/>
      <c r="PKZ186" s="298"/>
      <c r="PLA186" s="298"/>
      <c r="PLB186" s="298"/>
      <c r="PLC186" s="298"/>
      <c r="PLD186" s="298"/>
      <c r="PLE186" s="298"/>
      <c r="PLF186" s="298"/>
      <c r="PLG186" s="298"/>
      <c r="PLH186" s="298"/>
      <c r="PLI186" s="298"/>
      <c r="PLJ186" s="298"/>
      <c r="PLK186" s="298"/>
      <c r="PLL186" s="298"/>
      <c r="PLM186" s="298"/>
      <c r="PLN186" s="298"/>
      <c r="PLO186" s="298"/>
      <c r="PLP186" s="298"/>
      <c r="PLQ186" s="298"/>
      <c r="PLR186" s="298"/>
      <c r="PLS186" s="298"/>
      <c r="PLT186" s="298"/>
      <c r="PLU186" s="298"/>
      <c r="PLV186" s="298"/>
      <c r="PLW186" s="298"/>
      <c r="PLX186" s="298"/>
      <c r="PLY186" s="298"/>
      <c r="PLZ186" s="298"/>
      <c r="PMA186" s="298"/>
      <c r="PMB186" s="298"/>
      <c r="PMC186" s="298"/>
      <c r="PMD186" s="298"/>
      <c r="PME186" s="298"/>
      <c r="PMF186" s="298"/>
      <c r="PMG186" s="298"/>
      <c r="PMH186" s="298"/>
      <c r="PMI186" s="298"/>
      <c r="PMJ186" s="298"/>
      <c r="PMK186" s="298"/>
      <c r="PML186" s="298"/>
      <c r="PMM186" s="298"/>
      <c r="PMN186" s="298"/>
      <c r="PMO186" s="298"/>
      <c r="PMP186" s="298"/>
      <c r="PMQ186" s="298"/>
      <c r="PMR186" s="298"/>
      <c r="PMS186" s="298"/>
      <c r="PMT186" s="298"/>
      <c r="PMU186" s="298"/>
      <c r="PMV186" s="298"/>
      <c r="PMW186" s="298"/>
      <c r="PMX186" s="298"/>
      <c r="PMY186" s="298"/>
      <c r="PMZ186" s="298"/>
      <c r="PNA186" s="298"/>
      <c r="PNB186" s="298"/>
      <c r="PNC186" s="298"/>
      <c r="PND186" s="298"/>
      <c r="PNE186" s="298"/>
      <c r="PNF186" s="298"/>
      <c r="PNG186" s="298"/>
      <c r="PNH186" s="298"/>
      <c r="PNI186" s="298"/>
      <c r="PNJ186" s="298"/>
      <c r="PNK186" s="298"/>
      <c r="PNL186" s="298"/>
      <c r="PNM186" s="298"/>
      <c r="PNN186" s="298"/>
      <c r="PNO186" s="298"/>
      <c r="PNP186" s="298"/>
      <c r="PNQ186" s="298"/>
      <c r="PNR186" s="298"/>
      <c r="PNS186" s="298"/>
      <c r="PNT186" s="298"/>
      <c r="PNU186" s="298"/>
      <c r="PNV186" s="298"/>
      <c r="PNW186" s="298"/>
      <c r="PNX186" s="298"/>
      <c r="PNY186" s="298"/>
      <c r="PNZ186" s="298"/>
      <c r="POA186" s="298"/>
      <c r="POB186" s="298"/>
      <c r="POC186" s="298"/>
      <c r="POD186" s="298"/>
      <c r="POE186" s="298"/>
      <c r="POF186" s="298"/>
      <c r="POG186" s="298"/>
      <c r="POH186" s="298"/>
      <c r="POI186" s="298"/>
      <c r="POJ186" s="298"/>
      <c r="POK186" s="298"/>
      <c r="POL186" s="298"/>
      <c r="POM186" s="298"/>
      <c r="PON186" s="298"/>
      <c r="POO186" s="298"/>
      <c r="POP186" s="298"/>
      <c r="POQ186" s="298"/>
      <c r="POR186" s="298"/>
      <c r="POS186" s="298"/>
      <c r="POT186" s="298"/>
      <c r="POU186" s="298"/>
      <c r="POV186" s="298"/>
      <c r="POW186" s="298"/>
      <c r="POX186" s="298"/>
      <c r="POY186" s="298"/>
      <c r="POZ186" s="298"/>
      <c r="PPA186" s="298"/>
      <c r="PPB186" s="298"/>
      <c r="PPC186" s="298"/>
      <c r="PPD186" s="298"/>
      <c r="PPE186" s="298"/>
      <c r="PPF186" s="298"/>
      <c r="PPG186" s="298"/>
      <c r="PPH186" s="298"/>
      <c r="PPI186" s="298"/>
      <c r="PPJ186" s="298"/>
      <c r="PPK186" s="298"/>
      <c r="PPL186" s="298"/>
      <c r="PPM186" s="298"/>
      <c r="PPN186" s="298"/>
      <c r="PPO186" s="298"/>
      <c r="PPP186" s="298"/>
      <c r="PPQ186" s="298"/>
      <c r="PPR186" s="298"/>
      <c r="PPS186" s="298"/>
      <c r="PPT186" s="298"/>
      <c r="PPU186" s="298"/>
      <c r="PPV186" s="298"/>
      <c r="PPW186" s="298"/>
      <c r="PPX186" s="298"/>
      <c r="PPY186" s="298"/>
      <c r="PPZ186" s="298"/>
      <c r="PQA186" s="298"/>
      <c r="PQB186" s="298"/>
      <c r="PQC186" s="298"/>
      <c r="PQD186" s="298"/>
      <c r="PQE186" s="298"/>
      <c r="PQF186" s="298"/>
      <c r="PQG186" s="298"/>
      <c r="PQH186" s="298"/>
      <c r="PQI186" s="298"/>
      <c r="PQJ186" s="298"/>
      <c r="PQK186" s="298"/>
      <c r="PQL186" s="298"/>
      <c r="PQM186" s="298"/>
      <c r="PQN186" s="298"/>
      <c r="PQO186" s="298"/>
      <c r="PQP186" s="298"/>
      <c r="PQQ186" s="298"/>
      <c r="PQR186" s="298"/>
      <c r="PQS186" s="298"/>
      <c r="PQT186" s="298"/>
      <c r="PQU186" s="298"/>
      <c r="PQV186" s="298"/>
      <c r="PQW186" s="298"/>
      <c r="PQX186" s="298"/>
      <c r="PQY186" s="298"/>
      <c r="PQZ186" s="298"/>
      <c r="PRA186" s="298"/>
      <c r="PRB186" s="298"/>
      <c r="PRC186" s="298"/>
      <c r="PRD186" s="298"/>
      <c r="PRE186" s="298"/>
      <c r="PRF186" s="298"/>
      <c r="PRG186" s="298"/>
      <c r="PRH186" s="298"/>
      <c r="PRI186" s="298"/>
      <c r="PRJ186" s="298"/>
      <c r="PRK186" s="298"/>
      <c r="PRL186" s="298"/>
      <c r="PRM186" s="298"/>
      <c r="PRN186" s="298"/>
      <c r="PRO186" s="298"/>
      <c r="PRP186" s="298"/>
      <c r="PRQ186" s="298"/>
      <c r="PRR186" s="298"/>
      <c r="PRS186" s="298"/>
      <c r="PRT186" s="298"/>
      <c r="PRU186" s="298"/>
      <c r="PRV186" s="298"/>
      <c r="PRW186" s="298"/>
      <c r="PRX186" s="298"/>
      <c r="PRY186" s="298"/>
      <c r="PRZ186" s="298"/>
      <c r="PSA186" s="298"/>
      <c r="PSB186" s="298"/>
      <c r="PSC186" s="298"/>
      <c r="PSD186" s="298"/>
      <c r="PSE186" s="298"/>
      <c r="PSF186" s="298"/>
      <c r="PSG186" s="298"/>
      <c r="PSH186" s="298"/>
      <c r="PSI186" s="298"/>
      <c r="PSJ186" s="298"/>
      <c r="PSK186" s="298"/>
      <c r="PSL186" s="298"/>
      <c r="PSM186" s="298"/>
      <c r="PSN186" s="298"/>
      <c r="PSO186" s="298"/>
      <c r="PSP186" s="298"/>
      <c r="PSQ186" s="298"/>
      <c r="PSR186" s="298"/>
      <c r="PSS186" s="298"/>
      <c r="PST186" s="298"/>
      <c r="PSU186" s="298"/>
      <c r="PSV186" s="298"/>
      <c r="PSW186" s="298"/>
      <c r="PSX186" s="298"/>
      <c r="PSY186" s="298"/>
      <c r="PSZ186" s="298"/>
      <c r="PTA186" s="298"/>
      <c r="PTB186" s="298"/>
      <c r="PTC186" s="298"/>
      <c r="PTD186" s="298"/>
      <c r="PTE186" s="298"/>
      <c r="PTF186" s="298"/>
      <c r="PTG186" s="298"/>
      <c r="PTH186" s="298"/>
      <c r="PTI186" s="298"/>
      <c r="PTJ186" s="298"/>
      <c r="PTK186" s="298"/>
      <c r="PTL186" s="298"/>
      <c r="PTM186" s="298"/>
      <c r="PTN186" s="298"/>
      <c r="PTO186" s="298"/>
      <c r="PTP186" s="298"/>
      <c r="PTQ186" s="298"/>
      <c r="PTR186" s="298"/>
      <c r="PTS186" s="298"/>
      <c r="PTT186" s="298"/>
      <c r="PTU186" s="298"/>
      <c r="PTV186" s="298"/>
      <c r="PTW186" s="298"/>
      <c r="PTX186" s="298"/>
      <c r="PTY186" s="298"/>
      <c r="PTZ186" s="298"/>
      <c r="PUA186" s="298"/>
      <c r="PUB186" s="298"/>
      <c r="PUC186" s="298"/>
      <c r="PUD186" s="298"/>
      <c r="PUE186" s="298"/>
      <c r="PUF186" s="298"/>
      <c r="PUG186" s="298"/>
      <c r="PUH186" s="298"/>
      <c r="PUI186" s="298"/>
      <c r="PUJ186" s="298"/>
      <c r="PUK186" s="298"/>
      <c r="PUL186" s="298"/>
      <c r="PUM186" s="298"/>
      <c r="PUN186" s="298"/>
      <c r="PUO186" s="298"/>
      <c r="PUP186" s="298"/>
      <c r="PUQ186" s="298"/>
      <c r="PUR186" s="298"/>
      <c r="PUS186" s="298"/>
      <c r="PUT186" s="298"/>
      <c r="PUU186" s="298"/>
      <c r="PUV186" s="298"/>
      <c r="PUW186" s="298"/>
      <c r="PUX186" s="298"/>
      <c r="PUY186" s="298"/>
      <c r="PUZ186" s="298"/>
      <c r="PVA186" s="298"/>
      <c r="PVB186" s="298"/>
      <c r="PVC186" s="298"/>
      <c r="PVD186" s="298"/>
      <c r="PVE186" s="298"/>
      <c r="PVF186" s="298"/>
      <c r="PVG186" s="298"/>
      <c r="PVH186" s="298"/>
      <c r="PVI186" s="298"/>
      <c r="PVJ186" s="298"/>
      <c r="PVK186" s="298"/>
      <c r="PVL186" s="298"/>
      <c r="PVM186" s="298"/>
      <c r="PVN186" s="298"/>
      <c r="PVO186" s="298"/>
      <c r="PVP186" s="298"/>
      <c r="PVQ186" s="298"/>
      <c r="PVR186" s="298"/>
      <c r="PVS186" s="298"/>
      <c r="PVT186" s="298"/>
      <c r="PVU186" s="298"/>
      <c r="PVV186" s="298"/>
      <c r="PVW186" s="298"/>
      <c r="PVX186" s="298"/>
      <c r="PVY186" s="298"/>
      <c r="PVZ186" s="298"/>
      <c r="PWA186" s="298"/>
      <c r="PWB186" s="298"/>
      <c r="PWC186" s="298"/>
      <c r="PWD186" s="298"/>
      <c r="PWE186" s="298"/>
      <c r="PWF186" s="298"/>
      <c r="PWG186" s="298"/>
      <c r="PWH186" s="298"/>
      <c r="PWI186" s="298"/>
      <c r="PWJ186" s="298"/>
      <c r="PWK186" s="298"/>
      <c r="PWL186" s="298"/>
      <c r="PWM186" s="298"/>
      <c r="PWN186" s="298"/>
      <c r="PWO186" s="298"/>
      <c r="PWP186" s="298"/>
      <c r="PWQ186" s="298"/>
      <c r="PWR186" s="298"/>
      <c r="PWS186" s="298"/>
      <c r="PWT186" s="298"/>
      <c r="PWU186" s="298"/>
      <c r="PWV186" s="298"/>
      <c r="PWW186" s="298"/>
      <c r="PWX186" s="298"/>
      <c r="PWY186" s="298"/>
      <c r="PWZ186" s="298"/>
      <c r="PXA186" s="298"/>
      <c r="PXB186" s="298"/>
      <c r="PXC186" s="298"/>
      <c r="PXD186" s="298"/>
      <c r="PXE186" s="298"/>
      <c r="PXF186" s="298"/>
      <c r="PXG186" s="298"/>
      <c r="PXH186" s="298"/>
      <c r="PXI186" s="298"/>
      <c r="PXJ186" s="298"/>
      <c r="PXK186" s="298"/>
      <c r="PXL186" s="298"/>
      <c r="PXM186" s="298"/>
      <c r="PXN186" s="298"/>
      <c r="PXO186" s="298"/>
      <c r="PXP186" s="298"/>
      <c r="PXQ186" s="298"/>
      <c r="PXR186" s="298"/>
      <c r="PXS186" s="298"/>
      <c r="PXT186" s="298"/>
      <c r="PXU186" s="298"/>
      <c r="PXV186" s="298"/>
      <c r="PXW186" s="298"/>
      <c r="PXX186" s="298"/>
      <c r="PXY186" s="298"/>
      <c r="PXZ186" s="298"/>
      <c r="PYA186" s="298"/>
      <c r="PYB186" s="298"/>
      <c r="PYC186" s="298"/>
      <c r="PYD186" s="298"/>
      <c r="PYE186" s="298"/>
      <c r="PYF186" s="298"/>
      <c r="PYG186" s="298"/>
      <c r="PYH186" s="298"/>
      <c r="PYI186" s="298"/>
      <c r="PYJ186" s="298"/>
      <c r="PYK186" s="298"/>
      <c r="PYL186" s="298"/>
      <c r="PYM186" s="298"/>
      <c r="PYN186" s="298"/>
      <c r="PYO186" s="298"/>
      <c r="PYP186" s="298"/>
      <c r="PYQ186" s="298"/>
      <c r="PYR186" s="298"/>
      <c r="PYS186" s="298"/>
      <c r="PYT186" s="298"/>
      <c r="PYU186" s="298"/>
      <c r="PYV186" s="298"/>
      <c r="PYW186" s="298"/>
      <c r="PYX186" s="298"/>
      <c r="PYY186" s="298"/>
      <c r="PYZ186" s="298"/>
      <c r="PZA186" s="298"/>
      <c r="PZB186" s="298"/>
      <c r="PZC186" s="298"/>
      <c r="PZD186" s="298"/>
      <c r="PZE186" s="298"/>
      <c r="PZF186" s="298"/>
      <c r="PZG186" s="298"/>
      <c r="PZH186" s="298"/>
      <c r="PZI186" s="298"/>
      <c r="PZJ186" s="298"/>
      <c r="PZK186" s="298"/>
      <c r="PZL186" s="298"/>
      <c r="PZM186" s="298"/>
      <c r="PZN186" s="298"/>
      <c r="PZO186" s="298"/>
      <c r="PZP186" s="298"/>
      <c r="PZQ186" s="298"/>
      <c r="PZR186" s="298"/>
      <c r="PZS186" s="298"/>
      <c r="PZT186" s="298"/>
      <c r="PZU186" s="298"/>
      <c r="PZV186" s="298"/>
      <c r="PZW186" s="298"/>
      <c r="PZX186" s="298"/>
      <c r="PZY186" s="298"/>
      <c r="PZZ186" s="298"/>
      <c r="QAA186" s="298"/>
      <c r="QAB186" s="298"/>
      <c r="QAC186" s="298"/>
      <c r="QAD186" s="298"/>
      <c r="QAE186" s="298"/>
      <c r="QAF186" s="298"/>
      <c r="QAG186" s="298"/>
      <c r="QAH186" s="298"/>
      <c r="QAI186" s="298"/>
      <c r="QAJ186" s="298"/>
      <c r="QAK186" s="298"/>
      <c r="QAL186" s="298"/>
      <c r="QAM186" s="298"/>
      <c r="QAN186" s="298"/>
      <c r="QAO186" s="298"/>
      <c r="QAP186" s="298"/>
      <c r="QAQ186" s="298"/>
      <c r="QAR186" s="298"/>
      <c r="QAS186" s="298"/>
      <c r="QAT186" s="298"/>
      <c r="QAU186" s="298"/>
      <c r="QAV186" s="298"/>
      <c r="QAW186" s="298"/>
      <c r="QAX186" s="298"/>
      <c r="QAY186" s="298"/>
      <c r="QAZ186" s="298"/>
      <c r="QBA186" s="298"/>
      <c r="QBB186" s="298"/>
      <c r="QBC186" s="298"/>
      <c r="QBD186" s="298"/>
      <c r="QBE186" s="298"/>
      <c r="QBF186" s="298"/>
      <c r="QBG186" s="298"/>
      <c r="QBH186" s="298"/>
      <c r="QBI186" s="298"/>
      <c r="QBJ186" s="298"/>
      <c r="QBK186" s="298"/>
      <c r="QBL186" s="298"/>
      <c r="QBM186" s="298"/>
      <c r="QBN186" s="298"/>
      <c r="QBO186" s="298"/>
      <c r="QBP186" s="298"/>
      <c r="QBQ186" s="298"/>
      <c r="QBR186" s="298"/>
      <c r="QBS186" s="298"/>
      <c r="QBT186" s="298"/>
      <c r="QBU186" s="298"/>
      <c r="QBV186" s="298"/>
      <c r="QBW186" s="298"/>
      <c r="QBX186" s="298"/>
      <c r="QBY186" s="298"/>
      <c r="QBZ186" s="298"/>
      <c r="QCA186" s="298"/>
      <c r="QCB186" s="298"/>
      <c r="QCC186" s="298"/>
      <c r="QCD186" s="298"/>
      <c r="QCE186" s="298"/>
      <c r="QCF186" s="298"/>
      <c r="QCG186" s="298"/>
      <c r="QCH186" s="298"/>
      <c r="QCI186" s="298"/>
      <c r="QCJ186" s="298"/>
      <c r="QCK186" s="298"/>
      <c r="QCL186" s="298"/>
      <c r="QCM186" s="298"/>
      <c r="QCN186" s="298"/>
      <c r="QCO186" s="298"/>
      <c r="QCP186" s="298"/>
      <c r="QCQ186" s="298"/>
      <c r="QCR186" s="298"/>
      <c r="QCS186" s="298"/>
      <c r="QCT186" s="298"/>
      <c r="QCU186" s="298"/>
      <c r="QCV186" s="298"/>
      <c r="QCW186" s="298"/>
      <c r="QCX186" s="298"/>
      <c r="QCY186" s="298"/>
      <c r="QCZ186" s="298"/>
      <c r="QDA186" s="298"/>
      <c r="QDB186" s="298"/>
      <c r="QDC186" s="298"/>
      <c r="QDD186" s="298"/>
      <c r="QDE186" s="298"/>
      <c r="QDF186" s="298"/>
      <c r="QDG186" s="298"/>
      <c r="QDH186" s="298"/>
      <c r="QDI186" s="298"/>
      <c r="QDJ186" s="298"/>
      <c r="QDK186" s="298"/>
      <c r="QDL186" s="298"/>
      <c r="QDM186" s="298"/>
      <c r="QDN186" s="298"/>
      <c r="QDO186" s="298"/>
      <c r="QDP186" s="298"/>
      <c r="QDQ186" s="298"/>
      <c r="QDR186" s="298"/>
      <c r="QDS186" s="298"/>
      <c r="QDT186" s="298"/>
      <c r="QDU186" s="298"/>
      <c r="QDV186" s="298"/>
      <c r="QDW186" s="298"/>
      <c r="QDX186" s="298"/>
      <c r="QDY186" s="298"/>
      <c r="QDZ186" s="298"/>
      <c r="QEA186" s="298"/>
      <c r="QEB186" s="298"/>
      <c r="QEC186" s="298"/>
      <c r="QED186" s="298"/>
      <c r="QEE186" s="298"/>
      <c r="QEF186" s="298"/>
      <c r="QEG186" s="298"/>
      <c r="QEH186" s="298"/>
      <c r="QEI186" s="298"/>
      <c r="QEJ186" s="298"/>
      <c r="QEK186" s="298"/>
      <c r="QEL186" s="298"/>
      <c r="QEM186" s="298"/>
      <c r="QEN186" s="298"/>
      <c r="QEO186" s="298"/>
      <c r="QEP186" s="298"/>
      <c r="QEQ186" s="298"/>
      <c r="QER186" s="298"/>
      <c r="QES186" s="298"/>
      <c r="QET186" s="298"/>
      <c r="QEU186" s="298"/>
      <c r="QEV186" s="298"/>
      <c r="QEW186" s="298"/>
      <c r="QEX186" s="298"/>
      <c r="QEY186" s="298"/>
      <c r="QEZ186" s="298"/>
      <c r="QFA186" s="298"/>
      <c r="QFB186" s="298"/>
      <c r="QFC186" s="298"/>
      <c r="QFD186" s="298"/>
      <c r="QFE186" s="298"/>
      <c r="QFF186" s="298"/>
      <c r="QFG186" s="298"/>
      <c r="QFH186" s="298"/>
      <c r="QFI186" s="298"/>
      <c r="QFJ186" s="298"/>
      <c r="QFK186" s="298"/>
      <c r="QFL186" s="298"/>
      <c r="QFM186" s="298"/>
      <c r="QFN186" s="298"/>
      <c r="QFO186" s="298"/>
      <c r="QFP186" s="298"/>
      <c r="QFQ186" s="298"/>
      <c r="QFR186" s="298"/>
      <c r="QFS186" s="298"/>
      <c r="QFT186" s="298"/>
      <c r="QFU186" s="298"/>
      <c r="QFV186" s="298"/>
      <c r="QFW186" s="298"/>
      <c r="QFX186" s="298"/>
      <c r="QFY186" s="298"/>
      <c r="QFZ186" s="298"/>
      <c r="QGA186" s="298"/>
      <c r="QGB186" s="298"/>
      <c r="QGC186" s="298"/>
      <c r="QGD186" s="298"/>
      <c r="QGE186" s="298"/>
      <c r="QGF186" s="298"/>
      <c r="QGG186" s="298"/>
      <c r="QGH186" s="298"/>
      <c r="QGI186" s="298"/>
      <c r="QGJ186" s="298"/>
      <c r="QGK186" s="298"/>
      <c r="QGL186" s="298"/>
      <c r="QGM186" s="298"/>
      <c r="QGN186" s="298"/>
      <c r="QGO186" s="298"/>
      <c r="QGP186" s="298"/>
      <c r="QGQ186" s="298"/>
      <c r="QGR186" s="298"/>
      <c r="QGS186" s="298"/>
      <c r="QGT186" s="298"/>
      <c r="QGU186" s="298"/>
      <c r="QGV186" s="298"/>
      <c r="QGW186" s="298"/>
      <c r="QGX186" s="298"/>
      <c r="QGY186" s="298"/>
      <c r="QGZ186" s="298"/>
      <c r="QHA186" s="298"/>
      <c r="QHB186" s="298"/>
      <c r="QHC186" s="298"/>
      <c r="QHD186" s="298"/>
      <c r="QHE186" s="298"/>
      <c r="QHF186" s="298"/>
      <c r="QHG186" s="298"/>
      <c r="QHH186" s="298"/>
      <c r="QHI186" s="298"/>
      <c r="QHJ186" s="298"/>
      <c r="QHK186" s="298"/>
      <c r="QHL186" s="298"/>
      <c r="QHM186" s="298"/>
      <c r="QHN186" s="298"/>
      <c r="QHO186" s="298"/>
      <c r="QHP186" s="298"/>
      <c r="QHQ186" s="298"/>
      <c r="QHR186" s="298"/>
      <c r="QHS186" s="298"/>
      <c r="QHT186" s="298"/>
      <c r="QHU186" s="298"/>
      <c r="QHV186" s="298"/>
      <c r="QHW186" s="298"/>
      <c r="QHX186" s="298"/>
      <c r="QHY186" s="298"/>
      <c r="QHZ186" s="298"/>
      <c r="QIA186" s="298"/>
      <c r="QIB186" s="298"/>
      <c r="QIC186" s="298"/>
      <c r="QID186" s="298"/>
      <c r="QIE186" s="298"/>
      <c r="QIF186" s="298"/>
      <c r="QIG186" s="298"/>
      <c r="QIH186" s="298"/>
      <c r="QII186" s="298"/>
      <c r="QIJ186" s="298"/>
      <c r="QIK186" s="298"/>
      <c r="QIL186" s="298"/>
      <c r="QIM186" s="298"/>
      <c r="QIN186" s="298"/>
      <c r="QIO186" s="298"/>
      <c r="QIP186" s="298"/>
      <c r="QIQ186" s="298"/>
      <c r="QIR186" s="298"/>
      <c r="QIS186" s="298"/>
      <c r="QIT186" s="298"/>
      <c r="QIU186" s="298"/>
      <c r="QIV186" s="298"/>
      <c r="QIW186" s="298"/>
      <c r="QIX186" s="298"/>
      <c r="QIY186" s="298"/>
      <c r="QIZ186" s="298"/>
      <c r="QJA186" s="298"/>
      <c r="QJB186" s="298"/>
      <c r="QJC186" s="298"/>
      <c r="QJD186" s="298"/>
      <c r="QJE186" s="298"/>
      <c r="QJF186" s="298"/>
      <c r="QJG186" s="298"/>
      <c r="QJH186" s="298"/>
      <c r="QJI186" s="298"/>
      <c r="QJJ186" s="298"/>
      <c r="QJK186" s="298"/>
      <c r="QJL186" s="298"/>
      <c r="QJM186" s="298"/>
      <c r="QJN186" s="298"/>
      <c r="QJO186" s="298"/>
      <c r="QJP186" s="298"/>
      <c r="QJQ186" s="298"/>
      <c r="QJR186" s="298"/>
      <c r="QJS186" s="298"/>
      <c r="QJT186" s="298"/>
      <c r="QJU186" s="298"/>
      <c r="QJV186" s="298"/>
      <c r="QJW186" s="298"/>
      <c r="QJX186" s="298"/>
      <c r="QJY186" s="298"/>
      <c r="QJZ186" s="298"/>
      <c r="QKA186" s="298"/>
      <c r="QKB186" s="298"/>
      <c r="QKC186" s="298"/>
      <c r="QKD186" s="298"/>
      <c r="QKE186" s="298"/>
      <c r="QKF186" s="298"/>
      <c r="QKG186" s="298"/>
      <c r="QKH186" s="298"/>
      <c r="QKI186" s="298"/>
      <c r="QKJ186" s="298"/>
      <c r="QKK186" s="298"/>
      <c r="QKL186" s="298"/>
      <c r="QKM186" s="298"/>
      <c r="QKN186" s="298"/>
      <c r="QKO186" s="298"/>
      <c r="QKP186" s="298"/>
      <c r="QKQ186" s="298"/>
      <c r="QKR186" s="298"/>
      <c r="QKS186" s="298"/>
      <c r="QKT186" s="298"/>
      <c r="QKU186" s="298"/>
      <c r="QKV186" s="298"/>
      <c r="QKW186" s="298"/>
      <c r="QKX186" s="298"/>
      <c r="QKY186" s="298"/>
      <c r="QKZ186" s="298"/>
      <c r="QLA186" s="298"/>
      <c r="QLB186" s="298"/>
      <c r="QLC186" s="298"/>
      <c r="QLD186" s="298"/>
      <c r="QLE186" s="298"/>
      <c r="QLF186" s="298"/>
      <c r="QLG186" s="298"/>
      <c r="QLH186" s="298"/>
      <c r="QLI186" s="298"/>
      <c r="QLJ186" s="298"/>
      <c r="QLK186" s="298"/>
      <c r="QLL186" s="298"/>
      <c r="QLM186" s="298"/>
      <c r="QLN186" s="298"/>
      <c r="QLO186" s="298"/>
      <c r="QLP186" s="298"/>
      <c r="QLQ186" s="298"/>
      <c r="QLR186" s="298"/>
      <c r="QLS186" s="298"/>
      <c r="QLT186" s="298"/>
      <c r="QLU186" s="298"/>
      <c r="QLV186" s="298"/>
      <c r="QLW186" s="298"/>
      <c r="QLX186" s="298"/>
      <c r="QLY186" s="298"/>
      <c r="QLZ186" s="298"/>
      <c r="QMA186" s="298"/>
      <c r="QMB186" s="298"/>
      <c r="QMC186" s="298"/>
      <c r="QMD186" s="298"/>
      <c r="QME186" s="298"/>
      <c r="QMF186" s="298"/>
      <c r="QMG186" s="298"/>
      <c r="QMH186" s="298"/>
      <c r="QMI186" s="298"/>
      <c r="QMJ186" s="298"/>
      <c r="QMK186" s="298"/>
      <c r="QML186" s="298"/>
      <c r="QMM186" s="298"/>
      <c r="QMN186" s="298"/>
      <c r="QMO186" s="298"/>
      <c r="QMP186" s="298"/>
      <c r="QMQ186" s="298"/>
      <c r="QMR186" s="298"/>
      <c r="QMS186" s="298"/>
      <c r="QMT186" s="298"/>
      <c r="QMU186" s="298"/>
      <c r="QMV186" s="298"/>
      <c r="QMW186" s="298"/>
      <c r="QMX186" s="298"/>
      <c r="QMY186" s="298"/>
      <c r="QMZ186" s="298"/>
      <c r="QNA186" s="298"/>
      <c r="QNB186" s="298"/>
      <c r="QNC186" s="298"/>
      <c r="QND186" s="298"/>
      <c r="QNE186" s="298"/>
      <c r="QNF186" s="298"/>
      <c r="QNG186" s="298"/>
      <c r="QNH186" s="298"/>
      <c r="QNI186" s="298"/>
      <c r="QNJ186" s="298"/>
      <c r="QNK186" s="298"/>
      <c r="QNL186" s="298"/>
      <c r="QNM186" s="298"/>
      <c r="QNN186" s="298"/>
      <c r="QNO186" s="298"/>
      <c r="QNP186" s="298"/>
      <c r="QNQ186" s="298"/>
      <c r="QNR186" s="298"/>
      <c r="QNS186" s="298"/>
      <c r="QNT186" s="298"/>
      <c r="QNU186" s="298"/>
      <c r="QNV186" s="298"/>
      <c r="QNW186" s="298"/>
      <c r="QNX186" s="298"/>
      <c r="QNY186" s="298"/>
      <c r="QNZ186" s="298"/>
      <c r="QOA186" s="298"/>
      <c r="QOB186" s="298"/>
      <c r="QOC186" s="298"/>
      <c r="QOD186" s="298"/>
      <c r="QOE186" s="298"/>
      <c r="QOF186" s="298"/>
      <c r="QOG186" s="298"/>
      <c r="QOH186" s="298"/>
      <c r="QOI186" s="298"/>
      <c r="QOJ186" s="298"/>
      <c r="QOK186" s="298"/>
      <c r="QOL186" s="298"/>
      <c r="QOM186" s="298"/>
      <c r="QON186" s="298"/>
      <c r="QOO186" s="298"/>
      <c r="QOP186" s="298"/>
      <c r="QOQ186" s="298"/>
      <c r="QOR186" s="298"/>
      <c r="QOS186" s="298"/>
      <c r="QOT186" s="298"/>
      <c r="QOU186" s="298"/>
      <c r="QOV186" s="298"/>
      <c r="QOW186" s="298"/>
      <c r="QOX186" s="298"/>
      <c r="QOY186" s="298"/>
      <c r="QOZ186" s="298"/>
      <c r="QPA186" s="298"/>
      <c r="QPB186" s="298"/>
      <c r="QPC186" s="298"/>
      <c r="QPD186" s="298"/>
      <c r="QPE186" s="298"/>
      <c r="QPF186" s="298"/>
      <c r="QPG186" s="298"/>
      <c r="QPH186" s="298"/>
      <c r="QPI186" s="298"/>
      <c r="QPJ186" s="298"/>
      <c r="QPK186" s="298"/>
      <c r="QPL186" s="298"/>
      <c r="QPM186" s="298"/>
      <c r="QPN186" s="298"/>
      <c r="QPO186" s="298"/>
      <c r="QPP186" s="298"/>
      <c r="QPQ186" s="298"/>
      <c r="QPR186" s="298"/>
      <c r="QPS186" s="298"/>
      <c r="QPT186" s="298"/>
      <c r="QPU186" s="298"/>
      <c r="QPV186" s="298"/>
      <c r="QPW186" s="298"/>
      <c r="QPX186" s="298"/>
      <c r="QPY186" s="298"/>
      <c r="QPZ186" s="298"/>
      <c r="QQA186" s="298"/>
      <c r="QQB186" s="298"/>
      <c r="QQC186" s="298"/>
      <c r="QQD186" s="298"/>
      <c r="QQE186" s="298"/>
      <c r="QQF186" s="298"/>
      <c r="QQG186" s="298"/>
      <c r="QQH186" s="298"/>
      <c r="QQI186" s="298"/>
      <c r="QQJ186" s="298"/>
      <c r="QQK186" s="298"/>
      <c r="QQL186" s="298"/>
      <c r="QQM186" s="298"/>
      <c r="QQN186" s="298"/>
      <c r="QQO186" s="298"/>
      <c r="QQP186" s="298"/>
      <c r="QQQ186" s="298"/>
      <c r="QQR186" s="298"/>
      <c r="QQS186" s="298"/>
      <c r="QQT186" s="298"/>
      <c r="QQU186" s="298"/>
      <c r="QQV186" s="298"/>
      <c r="QQW186" s="298"/>
      <c r="QQX186" s="298"/>
      <c r="QQY186" s="298"/>
      <c r="QQZ186" s="298"/>
      <c r="QRA186" s="298"/>
      <c r="QRB186" s="298"/>
      <c r="QRC186" s="298"/>
      <c r="QRD186" s="298"/>
      <c r="QRE186" s="298"/>
      <c r="QRF186" s="298"/>
      <c r="QRG186" s="298"/>
      <c r="QRH186" s="298"/>
      <c r="QRI186" s="298"/>
      <c r="QRJ186" s="298"/>
      <c r="QRK186" s="298"/>
      <c r="QRL186" s="298"/>
      <c r="QRM186" s="298"/>
      <c r="QRN186" s="298"/>
      <c r="QRO186" s="298"/>
      <c r="QRP186" s="298"/>
      <c r="QRQ186" s="298"/>
      <c r="QRR186" s="298"/>
      <c r="QRS186" s="298"/>
      <c r="QRT186" s="298"/>
      <c r="QRU186" s="298"/>
      <c r="QRV186" s="298"/>
      <c r="QRW186" s="298"/>
      <c r="QRX186" s="298"/>
      <c r="QRY186" s="298"/>
      <c r="QRZ186" s="298"/>
      <c r="QSA186" s="298"/>
      <c r="QSB186" s="298"/>
      <c r="QSC186" s="298"/>
      <c r="QSD186" s="298"/>
      <c r="QSE186" s="298"/>
      <c r="QSF186" s="298"/>
      <c r="QSG186" s="298"/>
      <c r="QSH186" s="298"/>
      <c r="QSI186" s="298"/>
      <c r="QSJ186" s="298"/>
      <c r="QSK186" s="298"/>
      <c r="QSL186" s="298"/>
      <c r="QSM186" s="298"/>
      <c r="QSN186" s="298"/>
      <c r="QSO186" s="298"/>
      <c r="QSP186" s="298"/>
      <c r="QSQ186" s="298"/>
      <c r="QSR186" s="298"/>
      <c r="QSS186" s="298"/>
      <c r="QST186" s="298"/>
      <c r="QSU186" s="298"/>
      <c r="QSV186" s="298"/>
      <c r="QSW186" s="298"/>
      <c r="QSX186" s="298"/>
      <c r="QSY186" s="298"/>
      <c r="QSZ186" s="298"/>
      <c r="QTA186" s="298"/>
      <c r="QTB186" s="298"/>
      <c r="QTC186" s="298"/>
      <c r="QTD186" s="298"/>
      <c r="QTE186" s="298"/>
      <c r="QTF186" s="298"/>
      <c r="QTG186" s="298"/>
      <c r="QTH186" s="298"/>
      <c r="QTI186" s="298"/>
      <c r="QTJ186" s="298"/>
      <c r="QTK186" s="298"/>
      <c r="QTL186" s="298"/>
      <c r="QTM186" s="298"/>
      <c r="QTN186" s="298"/>
      <c r="QTO186" s="298"/>
      <c r="QTP186" s="298"/>
      <c r="QTQ186" s="298"/>
      <c r="QTR186" s="298"/>
      <c r="QTS186" s="298"/>
      <c r="QTT186" s="298"/>
      <c r="QTU186" s="298"/>
      <c r="QTV186" s="298"/>
      <c r="QTW186" s="298"/>
      <c r="QTX186" s="298"/>
      <c r="QTY186" s="298"/>
      <c r="QTZ186" s="298"/>
      <c r="QUA186" s="298"/>
      <c r="QUB186" s="298"/>
      <c r="QUC186" s="298"/>
      <c r="QUD186" s="298"/>
      <c r="QUE186" s="298"/>
      <c r="QUF186" s="298"/>
      <c r="QUG186" s="298"/>
      <c r="QUH186" s="298"/>
      <c r="QUI186" s="298"/>
      <c r="QUJ186" s="298"/>
      <c r="QUK186" s="298"/>
      <c r="QUL186" s="298"/>
      <c r="QUM186" s="298"/>
      <c r="QUN186" s="298"/>
      <c r="QUO186" s="298"/>
      <c r="QUP186" s="298"/>
      <c r="QUQ186" s="298"/>
      <c r="QUR186" s="298"/>
      <c r="QUS186" s="298"/>
      <c r="QUT186" s="298"/>
      <c r="QUU186" s="298"/>
      <c r="QUV186" s="298"/>
      <c r="QUW186" s="298"/>
      <c r="QUX186" s="298"/>
      <c r="QUY186" s="298"/>
      <c r="QUZ186" s="298"/>
      <c r="QVA186" s="298"/>
      <c r="QVB186" s="298"/>
      <c r="QVC186" s="298"/>
      <c r="QVD186" s="298"/>
      <c r="QVE186" s="298"/>
      <c r="QVF186" s="298"/>
      <c r="QVG186" s="298"/>
      <c r="QVH186" s="298"/>
      <c r="QVI186" s="298"/>
      <c r="QVJ186" s="298"/>
      <c r="QVK186" s="298"/>
      <c r="QVL186" s="298"/>
      <c r="QVM186" s="298"/>
      <c r="QVN186" s="298"/>
      <c r="QVO186" s="298"/>
      <c r="QVP186" s="298"/>
      <c r="QVQ186" s="298"/>
      <c r="QVR186" s="298"/>
      <c r="QVS186" s="298"/>
      <c r="QVT186" s="298"/>
      <c r="QVU186" s="298"/>
      <c r="QVV186" s="298"/>
      <c r="QVW186" s="298"/>
      <c r="QVX186" s="298"/>
      <c r="QVY186" s="298"/>
      <c r="QVZ186" s="298"/>
      <c r="QWA186" s="298"/>
      <c r="QWB186" s="298"/>
      <c r="QWC186" s="298"/>
      <c r="QWD186" s="298"/>
      <c r="QWE186" s="298"/>
      <c r="QWF186" s="298"/>
      <c r="QWG186" s="298"/>
      <c r="QWH186" s="298"/>
      <c r="QWI186" s="298"/>
      <c r="QWJ186" s="298"/>
      <c r="QWK186" s="298"/>
      <c r="QWL186" s="298"/>
      <c r="QWM186" s="298"/>
      <c r="QWN186" s="298"/>
      <c r="QWO186" s="298"/>
      <c r="QWP186" s="298"/>
      <c r="QWQ186" s="298"/>
      <c r="QWR186" s="298"/>
      <c r="QWS186" s="298"/>
      <c r="QWT186" s="298"/>
      <c r="QWU186" s="298"/>
      <c r="QWV186" s="298"/>
      <c r="QWW186" s="298"/>
      <c r="QWX186" s="298"/>
      <c r="QWY186" s="298"/>
      <c r="QWZ186" s="298"/>
      <c r="QXA186" s="298"/>
      <c r="QXB186" s="298"/>
      <c r="QXC186" s="298"/>
      <c r="QXD186" s="298"/>
      <c r="QXE186" s="298"/>
      <c r="QXF186" s="298"/>
      <c r="QXG186" s="298"/>
      <c r="QXH186" s="298"/>
      <c r="QXI186" s="298"/>
      <c r="QXJ186" s="298"/>
      <c r="QXK186" s="298"/>
      <c r="QXL186" s="298"/>
      <c r="QXM186" s="298"/>
      <c r="QXN186" s="298"/>
      <c r="QXO186" s="298"/>
      <c r="QXP186" s="298"/>
      <c r="QXQ186" s="298"/>
      <c r="QXR186" s="298"/>
      <c r="QXS186" s="298"/>
      <c r="QXT186" s="298"/>
      <c r="QXU186" s="298"/>
      <c r="QXV186" s="298"/>
      <c r="QXW186" s="298"/>
      <c r="QXX186" s="298"/>
      <c r="QXY186" s="298"/>
      <c r="QXZ186" s="298"/>
      <c r="QYA186" s="298"/>
      <c r="QYB186" s="298"/>
      <c r="QYC186" s="298"/>
      <c r="QYD186" s="298"/>
      <c r="QYE186" s="298"/>
      <c r="QYF186" s="298"/>
      <c r="QYG186" s="298"/>
      <c r="QYH186" s="298"/>
      <c r="QYI186" s="298"/>
      <c r="QYJ186" s="298"/>
      <c r="QYK186" s="298"/>
      <c r="QYL186" s="298"/>
      <c r="QYM186" s="298"/>
      <c r="QYN186" s="298"/>
      <c r="QYO186" s="298"/>
      <c r="QYP186" s="298"/>
      <c r="QYQ186" s="298"/>
      <c r="QYR186" s="298"/>
      <c r="QYS186" s="298"/>
      <c r="QYT186" s="298"/>
      <c r="QYU186" s="298"/>
      <c r="QYV186" s="298"/>
      <c r="QYW186" s="298"/>
      <c r="QYX186" s="298"/>
      <c r="QYY186" s="298"/>
      <c r="QYZ186" s="298"/>
      <c r="QZA186" s="298"/>
      <c r="QZB186" s="298"/>
      <c r="QZC186" s="298"/>
      <c r="QZD186" s="298"/>
      <c r="QZE186" s="298"/>
      <c r="QZF186" s="298"/>
      <c r="QZG186" s="298"/>
      <c r="QZH186" s="298"/>
      <c r="QZI186" s="298"/>
      <c r="QZJ186" s="298"/>
      <c r="QZK186" s="298"/>
      <c r="QZL186" s="298"/>
      <c r="QZM186" s="298"/>
      <c r="QZN186" s="298"/>
      <c r="QZO186" s="298"/>
      <c r="QZP186" s="298"/>
      <c r="QZQ186" s="298"/>
      <c r="QZR186" s="298"/>
      <c r="QZS186" s="298"/>
      <c r="QZT186" s="298"/>
      <c r="QZU186" s="298"/>
      <c r="QZV186" s="298"/>
      <c r="QZW186" s="298"/>
      <c r="QZX186" s="298"/>
      <c r="QZY186" s="298"/>
      <c r="QZZ186" s="298"/>
      <c r="RAA186" s="298"/>
      <c r="RAB186" s="298"/>
      <c r="RAC186" s="298"/>
      <c r="RAD186" s="298"/>
      <c r="RAE186" s="298"/>
      <c r="RAF186" s="298"/>
      <c r="RAG186" s="298"/>
      <c r="RAH186" s="298"/>
      <c r="RAI186" s="298"/>
      <c r="RAJ186" s="298"/>
      <c r="RAK186" s="298"/>
      <c r="RAL186" s="298"/>
      <c r="RAM186" s="298"/>
      <c r="RAN186" s="298"/>
      <c r="RAO186" s="298"/>
      <c r="RAP186" s="298"/>
      <c r="RAQ186" s="298"/>
      <c r="RAR186" s="298"/>
      <c r="RAS186" s="298"/>
      <c r="RAT186" s="298"/>
      <c r="RAU186" s="298"/>
      <c r="RAV186" s="298"/>
      <c r="RAW186" s="298"/>
      <c r="RAX186" s="298"/>
      <c r="RAY186" s="298"/>
      <c r="RAZ186" s="298"/>
      <c r="RBA186" s="298"/>
      <c r="RBB186" s="298"/>
      <c r="RBC186" s="298"/>
      <c r="RBD186" s="298"/>
      <c r="RBE186" s="298"/>
      <c r="RBF186" s="298"/>
      <c r="RBG186" s="298"/>
      <c r="RBH186" s="298"/>
      <c r="RBI186" s="298"/>
      <c r="RBJ186" s="298"/>
      <c r="RBK186" s="298"/>
      <c r="RBL186" s="298"/>
      <c r="RBM186" s="298"/>
      <c r="RBN186" s="298"/>
      <c r="RBO186" s="298"/>
      <c r="RBP186" s="298"/>
      <c r="RBQ186" s="298"/>
      <c r="RBR186" s="298"/>
      <c r="RBS186" s="298"/>
      <c r="RBT186" s="298"/>
      <c r="RBU186" s="298"/>
      <c r="RBV186" s="298"/>
      <c r="RBW186" s="298"/>
      <c r="RBX186" s="298"/>
      <c r="RBY186" s="298"/>
      <c r="RBZ186" s="298"/>
      <c r="RCA186" s="298"/>
      <c r="RCB186" s="298"/>
      <c r="RCC186" s="298"/>
      <c r="RCD186" s="298"/>
      <c r="RCE186" s="298"/>
      <c r="RCF186" s="298"/>
      <c r="RCG186" s="298"/>
      <c r="RCH186" s="298"/>
      <c r="RCI186" s="298"/>
      <c r="RCJ186" s="298"/>
      <c r="RCK186" s="298"/>
      <c r="RCL186" s="298"/>
      <c r="RCM186" s="298"/>
      <c r="RCN186" s="298"/>
      <c r="RCO186" s="298"/>
      <c r="RCP186" s="298"/>
      <c r="RCQ186" s="298"/>
      <c r="RCR186" s="298"/>
      <c r="RCS186" s="298"/>
      <c r="RCT186" s="298"/>
      <c r="RCU186" s="298"/>
      <c r="RCV186" s="298"/>
      <c r="RCW186" s="298"/>
      <c r="RCX186" s="298"/>
      <c r="RCY186" s="298"/>
      <c r="RCZ186" s="298"/>
      <c r="RDA186" s="298"/>
      <c r="RDB186" s="298"/>
      <c r="RDC186" s="298"/>
      <c r="RDD186" s="298"/>
      <c r="RDE186" s="298"/>
      <c r="RDF186" s="298"/>
      <c r="RDG186" s="298"/>
      <c r="RDH186" s="298"/>
      <c r="RDI186" s="298"/>
      <c r="RDJ186" s="298"/>
      <c r="RDK186" s="298"/>
      <c r="RDL186" s="298"/>
      <c r="RDM186" s="298"/>
      <c r="RDN186" s="298"/>
      <c r="RDO186" s="298"/>
      <c r="RDP186" s="298"/>
      <c r="RDQ186" s="298"/>
      <c r="RDR186" s="298"/>
      <c r="RDS186" s="298"/>
      <c r="RDT186" s="298"/>
      <c r="RDU186" s="298"/>
      <c r="RDV186" s="298"/>
      <c r="RDW186" s="298"/>
      <c r="RDX186" s="298"/>
      <c r="RDY186" s="298"/>
      <c r="RDZ186" s="298"/>
      <c r="REA186" s="298"/>
      <c r="REB186" s="298"/>
      <c r="REC186" s="298"/>
      <c r="RED186" s="298"/>
      <c r="REE186" s="298"/>
      <c r="REF186" s="298"/>
      <c r="REG186" s="298"/>
      <c r="REH186" s="298"/>
      <c r="REI186" s="298"/>
      <c r="REJ186" s="298"/>
      <c r="REK186" s="298"/>
      <c r="REL186" s="298"/>
      <c r="REM186" s="298"/>
      <c r="REN186" s="298"/>
      <c r="REO186" s="298"/>
      <c r="REP186" s="298"/>
      <c r="REQ186" s="298"/>
      <c r="RER186" s="298"/>
      <c r="RES186" s="298"/>
      <c r="RET186" s="298"/>
      <c r="REU186" s="298"/>
      <c r="REV186" s="298"/>
      <c r="REW186" s="298"/>
      <c r="REX186" s="298"/>
      <c r="REY186" s="298"/>
      <c r="REZ186" s="298"/>
      <c r="RFA186" s="298"/>
      <c r="RFB186" s="298"/>
      <c r="RFC186" s="298"/>
      <c r="RFD186" s="298"/>
      <c r="RFE186" s="298"/>
      <c r="RFF186" s="298"/>
      <c r="RFG186" s="298"/>
      <c r="RFH186" s="298"/>
      <c r="RFI186" s="298"/>
      <c r="RFJ186" s="298"/>
      <c r="RFK186" s="298"/>
      <c r="RFL186" s="298"/>
      <c r="RFM186" s="298"/>
      <c r="RFN186" s="298"/>
      <c r="RFO186" s="298"/>
      <c r="RFP186" s="298"/>
      <c r="RFQ186" s="298"/>
      <c r="RFR186" s="298"/>
      <c r="RFS186" s="298"/>
      <c r="RFT186" s="298"/>
      <c r="RFU186" s="298"/>
      <c r="RFV186" s="298"/>
      <c r="RFW186" s="298"/>
      <c r="RFX186" s="298"/>
      <c r="RFY186" s="298"/>
      <c r="RFZ186" s="298"/>
      <c r="RGA186" s="298"/>
      <c r="RGB186" s="298"/>
      <c r="RGC186" s="298"/>
      <c r="RGD186" s="298"/>
      <c r="RGE186" s="298"/>
      <c r="RGF186" s="298"/>
      <c r="RGG186" s="298"/>
      <c r="RGH186" s="298"/>
      <c r="RGI186" s="298"/>
      <c r="RGJ186" s="298"/>
      <c r="RGK186" s="298"/>
      <c r="RGL186" s="298"/>
      <c r="RGM186" s="298"/>
      <c r="RGN186" s="298"/>
      <c r="RGO186" s="298"/>
      <c r="RGP186" s="298"/>
      <c r="RGQ186" s="298"/>
      <c r="RGR186" s="298"/>
      <c r="RGS186" s="298"/>
      <c r="RGT186" s="298"/>
      <c r="RGU186" s="298"/>
      <c r="RGV186" s="298"/>
      <c r="RGW186" s="298"/>
      <c r="RGX186" s="298"/>
      <c r="RGY186" s="298"/>
      <c r="RGZ186" s="298"/>
      <c r="RHA186" s="298"/>
      <c r="RHB186" s="298"/>
      <c r="RHC186" s="298"/>
      <c r="RHD186" s="298"/>
      <c r="RHE186" s="298"/>
      <c r="RHF186" s="298"/>
      <c r="RHG186" s="298"/>
      <c r="RHH186" s="298"/>
      <c r="RHI186" s="298"/>
      <c r="RHJ186" s="298"/>
      <c r="RHK186" s="298"/>
      <c r="RHL186" s="298"/>
      <c r="RHM186" s="298"/>
      <c r="RHN186" s="298"/>
      <c r="RHO186" s="298"/>
      <c r="RHP186" s="298"/>
      <c r="RHQ186" s="298"/>
      <c r="RHR186" s="298"/>
      <c r="RHS186" s="298"/>
      <c r="RHT186" s="298"/>
      <c r="RHU186" s="298"/>
      <c r="RHV186" s="298"/>
      <c r="RHW186" s="298"/>
      <c r="RHX186" s="298"/>
      <c r="RHY186" s="298"/>
      <c r="RHZ186" s="298"/>
      <c r="RIA186" s="298"/>
      <c r="RIB186" s="298"/>
      <c r="RIC186" s="298"/>
      <c r="RID186" s="298"/>
      <c r="RIE186" s="298"/>
      <c r="RIF186" s="298"/>
      <c r="RIG186" s="298"/>
      <c r="RIH186" s="298"/>
      <c r="RII186" s="298"/>
      <c r="RIJ186" s="298"/>
      <c r="RIK186" s="298"/>
      <c r="RIL186" s="298"/>
      <c r="RIM186" s="298"/>
      <c r="RIN186" s="298"/>
      <c r="RIO186" s="298"/>
      <c r="RIP186" s="298"/>
      <c r="RIQ186" s="298"/>
      <c r="RIR186" s="298"/>
      <c r="RIS186" s="298"/>
      <c r="RIT186" s="298"/>
      <c r="RIU186" s="298"/>
      <c r="RIV186" s="298"/>
      <c r="RIW186" s="298"/>
      <c r="RIX186" s="298"/>
      <c r="RIY186" s="298"/>
      <c r="RIZ186" s="298"/>
      <c r="RJA186" s="298"/>
      <c r="RJB186" s="298"/>
      <c r="RJC186" s="298"/>
      <c r="RJD186" s="298"/>
      <c r="RJE186" s="298"/>
      <c r="RJF186" s="298"/>
      <c r="RJG186" s="298"/>
      <c r="RJH186" s="298"/>
      <c r="RJI186" s="298"/>
      <c r="RJJ186" s="298"/>
      <c r="RJK186" s="298"/>
      <c r="RJL186" s="298"/>
      <c r="RJM186" s="298"/>
      <c r="RJN186" s="298"/>
      <c r="RJO186" s="298"/>
      <c r="RJP186" s="298"/>
      <c r="RJQ186" s="298"/>
      <c r="RJR186" s="298"/>
      <c r="RJS186" s="298"/>
      <c r="RJT186" s="298"/>
      <c r="RJU186" s="298"/>
      <c r="RJV186" s="298"/>
      <c r="RJW186" s="298"/>
      <c r="RJX186" s="298"/>
      <c r="RJY186" s="298"/>
      <c r="RJZ186" s="298"/>
      <c r="RKA186" s="298"/>
      <c r="RKB186" s="298"/>
      <c r="RKC186" s="298"/>
      <c r="RKD186" s="298"/>
      <c r="RKE186" s="298"/>
      <c r="RKF186" s="298"/>
      <c r="RKG186" s="298"/>
      <c r="RKH186" s="298"/>
      <c r="RKI186" s="298"/>
      <c r="RKJ186" s="298"/>
      <c r="RKK186" s="298"/>
      <c r="RKL186" s="298"/>
      <c r="RKM186" s="298"/>
      <c r="RKN186" s="298"/>
      <c r="RKO186" s="298"/>
      <c r="RKP186" s="298"/>
      <c r="RKQ186" s="298"/>
      <c r="RKR186" s="298"/>
      <c r="RKS186" s="298"/>
      <c r="RKT186" s="298"/>
      <c r="RKU186" s="298"/>
      <c r="RKV186" s="298"/>
      <c r="RKW186" s="298"/>
      <c r="RKX186" s="298"/>
      <c r="RKY186" s="298"/>
      <c r="RKZ186" s="298"/>
      <c r="RLA186" s="298"/>
      <c r="RLB186" s="298"/>
      <c r="RLC186" s="298"/>
      <c r="RLD186" s="298"/>
      <c r="RLE186" s="298"/>
      <c r="RLF186" s="298"/>
      <c r="RLG186" s="298"/>
      <c r="RLH186" s="298"/>
      <c r="RLI186" s="298"/>
      <c r="RLJ186" s="298"/>
      <c r="RLK186" s="298"/>
      <c r="RLL186" s="298"/>
      <c r="RLM186" s="298"/>
      <c r="RLN186" s="298"/>
      <c r="RLO186" s="298"/>
      <c r="RLP186" s="298"/>
      <c r="RLQ186" s="298"/>
      <c r="RLR186" s="298"/>
      <c r="RLS186" s="298"/>
      <c r="RLT186" s="298"/>
      <c r="RLU186" s="298"/>
      <c r="RLV186" s="298"/>
      <c r="RLW186" s="298"/>
      <c r="RLX186" s="298"/>
      <c r="RLY186" s="298"/>
      <c r="RLZ186" s="298"/>
      <c r="RMA186" s="298"/>
      <c r="RMB186" s="298"/>
      <c r="RMC186" s="298"/>
      <c r="RMD186" s="298"/>
      <c r="RME186" s="298"/>
      <c r="RMF186" s="298"/>
      <c r="RMG186" s="298"/>
      <c r="RMH186" s="298"/>
      <c r="RMI186" s="298"/>
      <c r="RMJ186" s="298"/>
      <c r="RMK186" s="298"/>
      <c r="RML186" s="298"/>
      <c r="RMM186" s="298"/>
      <c r="RMN186" s="298"/>
      <c r="RMO186" s="298"/>
      <c r="RMP186" s="298"/>
      <c r="RMQ186" s="298"/>
      <c r="RMR186" s="298"/>
      <c r="RMS186" s="298"/>
      <c r="RMT186" s="298"/>
      <c r="RMU186" s="298"/>
      <c r="RMV186" s="298"/>
      <c r="RMW186" s="298"/>
      <c r="RMX186" s="298"/>
      <c r="RMY186" s="298"/>
      <c r="RMZ186" s="298"/>
      <c r="RNA186" s="298"/>
      <c r="RNB186" s="298"/>
      <c r="RNC186" s="298"/>
      <c r="RND186" s="298"/>
      <c r="RNE186" s="298"/>
      <c r="RNF186" s="298"/>
      <c r="RNG186" s="298"/>
      <c r="RNH186" s="298"/>
      <c r="RNI186" s="298"/>
      <c r="RNJ186" s="298"/>
      <c r="RNK186" s="298"/>
      <c r="RNL186" s="298"/>
      <c r="RNM186" s="298"/>
      <c r="RNN186" s="298"/>
      <c r="RNO186" s="298"/>
      <c r="RNP186" s="298"/>
      <c r="RNQ186" s="298"/>
      <c r="RNR186" s="298"/>
      <c r="RNS186" s="298"/>
      <c r="RNT186" s="298"/>
      <c r="RNU186" s="298"/>
      <c r="RNV186" s="298"/>
      <c r="RNW186" s="298"/>
      <c r="RNX186" s="298"/>
      <c r="RNY186" s="298"/>
      <c r="RNZ186" s="298"/>
      <c r="ROA186" s="298"/>
      <c r="ROB186" s="298"/>
      <c r="ROC186" s="298"/>
      <c r="ROD186" s="298"/>
      <c r="ROE186" s="298"/>
      <c r="ROF186" s="298"/>
      <c r="ROG186" s="298"/>
      <c r="ROH186" s="298"/>
      <c r="ROI186" s="298"/>
      <c r="ROJ186" s="298"/>
      <c r="ROK186" s="298"/>
      <c r="ROL186" s="298"/>
      <c r="ROM186" s="298"/>
      <c r="RON186" s="298"/>
      <c r="ROO186" s="298"/>
      <c r="ROP186" s="298"/>
      <c r="ROQ186" s="298"/>
      <c r="ROR186" s="298"/>
      <c r="ROS186" s="298"/>
      <c r="ROT186" s="298"/>
      <c r="ROU186" s="298"/>
      <c r="ROV186" s="298"/>
      <c r="ROW186" s="298"/>
      <c r="ROX186" s="298"/>
      <c r="ROY186" s="298"/>
      <c r="ROZ186" s="298"/>
      <c r="RPA186" s="298"/>
      <c r="RPB186" s="298"/>
      <c r="RPC186" s="298"/>
      <c r="RPD186" s="298"/>
      <c r="RPE186" s="298"/>
      <c r="RPF186" s="298"/>
      <c r="RPG186" s="298"/>
      <c r="RPH186" s="298"/>
      <c r="RPI186" s="298"/>
      <c r="RPJ186" s="298"/>
      <c r="RPK186" s="298"/>
      <c r="RPL186" s="298"/>
      <c r="RPM186" s="298"/>
      <c r="RPN186" s="298"/>
      <c r="RPO186" s="298"/>
      <c r="RPP186" s="298"/>
      <c r="RPQ186" s="298"/>
      <c r="RPR186" s="298"/>
      <c r="RPS186" s="298"/>
      <c r="RPT186" s="298"/>
      <c r="RPU186" s="298"/>
      <c r="RPV186" s="298"/>
      <c r="RPW186" s="298"/>
      <c r="RPX186" s="298"/>
      <c r="RPY186" s="298"/>
      <c r="RPZ186" s="298"/>
      <c r="RQA186" s="298"/>
      <c r="RQB186" s="298"/>
      <c r="RQC186" s="298"/>
      <c r="RQD186" s="298"/>
      <c r="RQE186" s="298"/>
      <c r="RQF186" s="298"/>
      <c r="RQG186" s="298"/>
      <c r="RQH186" s="298"/>
      <c r="RQI186" s="298"/>
      <c r="RQJ186" s="298"/>
      <c r="RQK186" s="298"/>
      <c r="RQL186" s="298"/>
      <c r="RQM186" s="298"/>
      <c r="RQN186" s="298"/>
      <c r="RQO186" s="298"/>
      <c r="RQP186" s="298"/>
      <c r="RQQ186" s="298"/>
      <c r="RQR186" s="298"/>
      <c r="RQS186" s="298"/>
      <c r="RQT186" s="298"/>
      <c r="RQU186" s="298"/>
      <c r="RQV186" s="298"/>
      <c r="RQW186" s="298"/>
      <c r="RQX186" s="298"/>
      <c r="RQY186" s="298"/>
      <c r="RQZ186" s="298"/>
      <c r="RRA186" s="298"/>
      <c r="RRB186" s="298"/>
      <c r="RRC186" s="298"/>
      <c r="RRD186" s="298"/>
      <c r="RRE186" s="298"/>
      <c r="RRF186" s="298"/>
      <c r="RRG186" s="298"/>
      <c r="RRH186" s="298"/>
      <c r="RRI186" s="298"/>
      <c r="RRJ186" s="298"/>
      <c r="RRK186" s="298"/>
      <c r="RRL186" s="298"/>
      <c r="RRM186" s="298"/>
      <c r="RRN186" s="298"/>
      <c r="RRO186" s="298"/>
      <c r="RRP186" s="298"/>
      <c r="RRQ186" s="298"/>
      <c r="RRR186" s="298"/>
      <c r="RRS186" s="298"/>
      <c r="RRT186" s="298"/>
      <c r="RRU186" s="298"/>
      <c r="RRV186" s="298"/>
      <c r="RRW186" s="298"/>
      <c r="RRX186" s="298"/>
      <c r="RRY186" s="298"/>
      <c r="RRZ186" s="298"/>
      <c r="RSA186" s="298"/>
      <c r="RSB186" s="298"/>
      <c r="RSC186" s="298"/>
      <c r="RSD186" s="298"/>
      <c r="RSE186" s="298"/>
      <c r="RSF186" s="298"/>
      <c r="RSG186" s="298"/>
      <c r="RSH186" s="298"/>
      <c r="RSI186" s="298"/>
      <c r="RSJ186" s="298"/>
      <c r="RSK186" s="298"/>
      <c r="RSL186" s="298"/>
      <c r="RSM186" s="298"/>
      <c r="RSN186" s="298"/>
      <c r="RSO186" s="298"/>
      <c r="RSP186" s="298"/>
      <c r="RSQ186" s="298"/>
      <c r="RSR186" s="298"/>
      <c r="RSS186" s="298"/>
      <c r="RST186" s="298"/>
      <c r="RSU186" s="298"/>
      <c r="RSV186" s="298"/>
      <c r="RSW186" s="298"/>
      <c r="RSX186" s="298"/>
      <c r="RSY186" s="298"/>
      <c r="RSZ186" s="298"/>
      <c r="RTA186" s="298"/>
      <c r="RTB186" s="298"/>
      <c r="RTC186" s="298"/>
      <c r="RTD186" s="298"/>
      <c r="RTE186" s="298"/>
      <c r="RTF186" s="298"/>
      <c r="RTG186" s="298"/>
      <c r="RTH186" s="298"/>
      <c r="RTI186" s="298"/>
      <c r="RTJ186" s="298"/>
      <c r="RTK186" s="298"/>
      <c r="RTL186" s="298"/>
      <c r="RTM186" s="298"/>
      <c r="RTN186" s="298"/>
      <c r="RTO186" s="298"/>
      <c r="RTP186" s="298"/>
      <c r="RTQ186" s="298"/>
      <c r="RTR186" s="298"/>
      <c r="RTS186" s="298"/>
      <c r="RTT186" s="298"/>
      <c r="RTU186" s="298"/>
      <c r="RTV186" s="298"/>
      <c r="RTW186" s="298"/>
      <c r="RTX186" s="298"/>
      <c r="RTY186" s="298"/>
      <c r="RTZ186" s="298"/>
      <c r="RUA186" s="298"/>
      <c r="RUB186" s="298"/>
      <c r="RUC186" s="298"/>
      <c r="RUD186" s="298"/>
      <c r="RUE186" s="298"/>
      <c r="RUF186" s="298"/>
      <c r="RUG186" s="298"/>
      <c r="RUH186" s="298"/>
      <c r="RUI186" s="298"/>
      <c r="RUJ186" s="298"/>
      <c r="RUK186" s="298"/>
      <c r="RUL186" s="298"/>
      <c r="RUM186" s="298"/>
      <c r="RUN186" s="298"/>
      <c r="RUO186" s="298"/>
      <c r="RUP186" s="298"/>
      <c r="RUQ186" s="298"/>
      <c r="RUR186" s="298"/>
      <c r="RUS186" s="298"/>
      <c r="RUT186" s="298"/>
      <c r="RUU186" s="298"/>
      <c r="RUV186" s="298"/>
      <c r="RUW186" s="298"/>
      <c r="RUX186" s="298"/>
      <c r="RUY186" s="298"/>
      <c r="RUZ186" s="298"/>
      <c r="RVA186" s="298"/>
      <c r="RVB186" s="298"/>
      <c r="RVC186" s="298"/>
      <c r="RVD186" s="298"/>
      <c r="RVE186" s="298"/>
      <c r="RVF186" s="298"/>
      <c r="RVG186" s="298"/>
      <c r="RVH186" s="298"/>
      <c r="RVI186" s="298"/>
      <c r="RVJ186" s="298"/>
      <c r="RVK186" s="298"/>
      <c r="RVL186" s="298"/>
      <c r="RVM186" s="298"/>
      <c r="RVN186" s="298"/>
      <c r="RVO186" s="298"/>
      <c r="RVP186" s="298"/>
      <c r="RVQ186" s="298"/>
      <c r="RVR186" s="298"/>
      <c r="RVS186" s="298"/>
      <c r="RVT186" s="298"/>
      <c r="RVU186" s="298"/>
      <c r="RVV186" s="298"/>
      <c r="RVW186" s="298"/>
      <c r="RVX186" s="298"/>
      <c r="RVY186" s="298"/>
      <c r="RVZ186" s="298"/>
      <c r="RWA186" s="298"/>
      <c r="RWB186" s="298"/>
      <c r="RWC186" s="298"/>
      <c r="RWD186" s="298"/>
      <c r="RWE186" s="298"/>
      <c r="RWF186" s="298"/>
      <c r="RWG186" s="298"/>
      <c r="RWH186" s="298"/>
      <c r="RWI186" s="298"/>
      <c r="RWJ186" s="298"/>
      <c r="RWK186" s="298"/>
      <c r="RWL186" s="298"/>
      <c r="RWM186" s="298"/>
      <c r="RWN186" s="298"/>
      <c r="RWO186" s="298"/>
      <c r="RWP186" s="298"/>
      <c r="RWQ186" s="298"/>
      <c r="RWR186" s="298"/>
      <c r="RWS186" s="298"/>
      <c r="RWT186" s="298"/>
      <c r="RWU186" s="298"/>
      <c r="RWV186" s="298"/>
      <c r="RWW186" s="298"/>
      <c r="RWX186" s="298"/>
      <c r="RWY186" s="298"/>
      <c r="RWZ186" s="298"/>
      <c r="RXA186" s="298"/>
      <c r="RXB186" s="298"/>
      <c r="RXC186" s="298"/>
      <c r="RXD186" s="298"/>
      <c r="RXE186" s="298"/>
      <c r="RXF186" s="298"/>
      <c r="RXG186" s="298"/>
      <c r="RXH186" s="298"/>
      <c r="RXI186" s="298"/>
      <c r="RXJ186" s="298"/>
      <c r="RXK186" s="298"/>
      <c r="RXL186" s="298"/>
      <c r="RXM186" s="298"/>
      <c r="RXN186" s="298"/>
      <c r="RXO186" s="298"/>
      <c r="RXP186" s="298"/>
      <c r="RXQ186" s="298"/>
      <c r="RXR186" s="298"/>
      <c r="RXS186" s="298"/>
      <c r="RXT186" s="298"/>
      <c r="RXU186" s="298"/>
      <c r="RXV186" s="298"/>
      <c r="RXW186" s="298"/>
      <c r="RXX186" s="298"/>
      <c r="RXY186" s="298"/>
      <c r="RXZ186" s="298"/>
      <c r="RYA186" s="298"/>
      <c r="RYB186" s="298"/>
      <c r="RYC186" s="298"/>
      <c r="RYD186" s="298"/>
      <c r="RYE186" s="298"/>
      <c r="RYF186" s="298"/>
      <c r="RYG186" s="298"/>
      <c r="RYH186" s="298"/>
      <c r="RYI186" s="298"/>
      <c r="RYJ186" s="298"/>
      <c r="RYK186" s="298"/>
      <c r="RYL186" s="298"/>
      <c r="RYM186" s="298"/>
      <c r="RYN186" s="298"/>
      <c r="RYO186" s="298"/>
      <c r="RYP186" s="298"/>
      <c r="RYQ186" s="298"/>
      <c r="RYR186" s="298"/>
      <c r="RYS186" s="298"/>
      <c r="RYT186" s="298"/>
      <c r="RYU186" s="298"/>
      <c r="RYV186" s="298"/>
      <c r="RYW186" s="298"/>
      <c r="RYX186" s="298"/>
      <c r="RYY186" s="298"/>
      <c r="RYZ186" s="298"/>
      <c r="RZA186" s="298"/>
      <c r="RZB186" s="298"/>
      <c r="RZC186" s="298"/>
      <c r="RZD186" s="298"/>
      <c r="RZE186" s="298"/>
      <c r="RZF186" s="298"/>
      <c r="RZG186" s="298"/>
      <c r="RZH186" s="298"/>
      <c r="RZI186" s="298"/>
      <c r="RZJ186" s="298"/>
      <c r="RZK186" s="298"/>
      <c r="RZL186" s="298"/>
      <c r="RZM186" s="298"/>
      <c r="RZN186" s="298"/>
      <c r="RZO186" s="298"/>
      <c r="RZP186" s="298"/>
      <c r="RZQ186" s="298"/>
      <c r="RZR186" s="298"/>
      <c r="RZS186" s="298"/>
      <c r="RZT186" s="298"/>
      <c r="RZU186" s="298"/>
      <c r="RZV186" s="298"/>
      <c r="RZW186" s="298"/>
      <c r="RZX186" s="298"/>
      <c r="RZY186" s="298"/>
      <c r="RZZ186" s="298"/>
      <c r="SAA186" s="298"/>
      <c r="SAB186" s="298"/>
      <c r="SAC186" s="298"/>
      <c r="SAD186" s="298"/>
      <c r="SAE186" s="298"/>
      <c r="SAF186" s="298"/>
      <c r="SAG186" s="298"/>
      <c r="SAH186" s="298"/>
      <c r="SAI186" s="298"/>
      <c r="SAJ186" s="298"/>
      <c r="SAK186" s="298"/>
      <c r="SAL186" s="298"/>
      <c r="SAM186" s="298"/>
      <c r="SAN186" s="298"/>
      <c r="SAO186" s="298"/>
      <c r="SAP186" s="298"/>
      <c r="SAQ186" s="298"/>
      <c r="SAR186" s="298"/>
      <c r="SAS186" s="298"/>
      <c r="SAT186" s="298"/>
      <c r="SAU186" s="298"/>
      <c r="SAV186" s="298"/>
      <c r="SAW186" s="298"/>
      <c r="SAX186" s="298"/>
      <c r="SAY186" s="298"/>
      <c r="SAZ186" s="298"/>
      <c r="SBA186" s="298"/>
      <c r="SBB186" s="298"/>
      <c r="SBC186" s="298"/>
      <c r="SBD186" s="298"/>
      <c r="SBE186" s="298"/>
      <c r="SBF186" s="298"/>
      <c r="SBG186" s="298"/>
      <c r="SBH186" s="298"/>
      <c r="SBI186" s="298"/>
      <c r="SBJ186" s="298"/>
      <c r="SBK186" s="298"/>
      <c r="SBL186" s="298"/>
      <c r="SBM186" s="298"/>
      <c r="SBN186" s="298"/>
      <c r="SBO186" s="298"/>
      <c r="SBP186" s="298"/>
      <c r="SBQ186" s="298"/>
      <c r="SBR186" s="298"/>
      <c r="SBS186" s="298"/>
      <c r="SBT186" s="298"/>
      <c r="SBU186" s="298"/>
      <c r="SBV186" s="298"/>
      <c r="SBW186" s="298"/>
      <c r="SBX186" s="298"/>
      <c r="SBY186" s="298"/>
      <c r="SBZ186" s="298"/>
      <c r="SCA186" s="298"/>
      <c r="SCB186" s="298"/>
      <c r="SCC186" s="298"/>
      <c r="SCD186" s="298"/>
      <c r="SCE186" s="298"/>
      <c r="SCF186" s="298"/>
      <c r="SCG186" s="298"/>
      <c r="SCH186" s="298"/>
      <c r="SCI186" s="298"/>
      <c r="SCJ186" s="298"/>
      <c r="SCK186" s="298"/>
      <c r="SCL186" s="298"/>
      <c r="SCM186" s="298"/>
      <c r="SCN186" s="298"/>
      <c r="SCO186" s="298"/>
      <c r="SCP186" s="298"/>
      <c r="SCQ186" s="298"/>
      <c r="SCR186" s="298"/>
      <c r="SCS186" s="298"/>
      <c r="SCT186" s="298"/>
      <c r="SCU186" s="298"/>
      <c r="SCV186" s="298"/>
      <c r="SCW186" s="298"/>
      <c r="SCX186" s="298"/>
      <c r="SCY186" s="298"/>
      <c r="SCZ186" s="298"/>
      <c r="SDA186" s="298"/>
      <c r="SDB186" s="298"/>
      <c r="SDC186" s="298"/>
      <c r="SDD186" s="298"/>
      <c r="SDE186" s="298"/>
      <c r="SDF186" s="298"/>
      <c r="SDG186" s="298"/>
      <c r="SDH186" s="298"/>
      <c r="SDI186" s="298"/>
      <c r="SDJ186" s="298"/>
      <c r="SDK186" s="298"/>
      <c r="SDL186" s="298"/>
      <c r="SDM186" s="298"/>
      <c r="SDN186" s="298"/>
      <c r="SDO186" s="298"/>
      <c r="SDP186" s="298"/>
      <c r="SDQ186" s="298"/>
      <c r="SDR186" s="298"/>
      <c r="SDS186" s="298"/>
      <c r="SDT186" s="298"/>
      <c r="SDU186" s="298"/>
      <c r="SDV186" s="298"/>
      <c r="SDW186" s="298"/>
      <c r="SDX186" s="298"/>
      <c r="SDY186" s="298"/>
      <c r="SDZ186" s="298"/>
      <c r="SEA186" s="298"/>
      <c r="SEB186" s="298"/>
      <c r="SEC186" s="298"/>
      <c r="SED186" s="298"/>
      <c r="SEE186" s="298"/>
      <c r="SEF186" s="298"/>
      <c r="SEG186" s="298"/>
      <c r="SEH186" s="298"/>
      <c r="SEI186" s="298"/>
      <c r="SEJ186" s="298"/>
      <c r="SEK186" s="298"/>
      <c r="SEL186" s="298"/>
      <c r="SEM186" s="298"/>
      <c r="SEN186" s="298"/>
      <c r="SEO186" s="298"/>
      <c r="SEP186" s="298"/>
      <c r="SEQ186" s="298"/>
      <c r="SER186" s="298"/>
      <c r="SES186" s="298"/>
      <c r="SET186" s="298"/>
      <c r="SEU186" s="298"/>
      <c r="SEV186" s="298"/>
      <c r="SEW186" s="298"/>
      <c r="SEX186" s="298"/>
      <c r="SEY186" s="298"/>
      <c r="SEZ186" s="298"/>
      <c r="SFA186" s="298"/>
      <c r="SFB186" s="298"/>
      <c r="SFC186" s="298"/>
      <c r="SFD186" s="298"/>
      <c r="SFE186" s="298"/>
      <c r="SFF186" s="298"/>
      <c r="SFG186" s="298"/>
      <c r="SFH186" s="298"/>
      <c r="SFI186" s="298"/>
      <c r="SFJ186" s="298"/>
      <c r="SFK186" s="298"/>
      <c r="SFL186" s="298"/>
      <c r="SFM186" s="298"/>
      <c r="SFN186" s="298"/>
      <c r="SFO186" s="298"/>
      <c r="SFP186" s="298"/>
      <c r="SFQ186" s="298"/>
      <c r="SFR186" s="298"/>
      <c r="SFS186" s="298"/>
      <c r="SFT186" s="298"/>
      <c r="SFU186" s="298"/>
      <c r="SFV186" s="298"/>
      <c r="SFW186" s="298"/>
      <c r="SFX186" s="298"/>
      <c r="SFY186" s="298"/>
      <c r="SFZ186" s="298"/>
      <c r="SGA186" s="298"/>
      <c r="SGB186" s="298"/>
      <c r="SGC186" s="298"/>
      <c r="SGD186" s="298"/>
      <c r="SGE186" s="298"/>
      <c r="SGF186" s="298"/>
      <c r="SGG186" s="298"/>
      <c r="SGH186" s="298"/>
      <c r="SGI186" s="298"/>
      <c r="SGJ186" s="298"/>
      <c r="SGK186" s="298"/>
      <c r="SGL186" s="298"/>
      <c r="SGM186" s="298"/>
      <c r="SGN186" s="298"/>
      <c r="SGO186" s="298"/>
      <c r="SGP186" s="298"/>
      <c r="SGQ186" s="298"/>
      <c r="SGR186" s="298"/>
      <c r="SGS186" s="298"/>
      <c r="SGT186" s="298"/>
      <c r="SGU186" s="298"/>
      <c r="SGV186" s="298"/>
      <c r="SGW186" s="298"/>
      <c r="SGX186" s="298"/>
      <c r="SGY186" s="298"/>
      <c r="SGZ186" s="298"/>
      <c r="SHA186" s="298"/>
      <c r="SHB186" s="298"/>
      <c r="SHC186" s="298"/>
      <c r="SHD186" s="298"/>
      <c r="SHE186" s="298"/>
      <c r="SHF186" s="298"/>
      <c r="SHG186" s="298"/>
      <c r="SHH186" s="298"/>
      <c r="SHI186" s="298"/>
      <c r="SHJ186" s="298"/>
      <c r="SHK186" s="298"/>
      <c r="SHL186" s="298"/>
      <c r="SHM186" s="298"/>
      <c r="SHN186" s="298"/>
      <c r="SHO186" s="298"/>
      <c r="SHP186" s="298"/>
      <c r="SHQ186" s="298"/>
      <c r="SHR186" s="298"/>
      <c r="SHS186" s="298"/>
      <c r="SHT186" s="298"/>
      <c r="SHU186" s="298"/>
      <c r="SHV186" s="298"/>
      <c r="SHW186" s="298"/>
      <c r="SHX186" s="298"/>
      <c r="SHY186" s="298"/>
      <c r="SHZ186" s="298"/>
      <c r="SIA186" s="298"/>
      <c r="SIB186" s="298"/>
      <c r="SIC186" s="298"/>
      <c r="SID186" s="298"/>
      <c r="SIE186" s="298"/>
      <c r="SIF186" s="298"/>
      <c r="SIG186" s="298"/>
      <c r="SIH186" s="298"/>
      <c r="SII186" s="298"/>
      <c r="SIJ186" s="298"/>
      <c r="SIK186" s="298"/>
      <c r="SIL186" s="298"/>
      <c r="SIM186" s="298"/>
      <c r="SIN186" s="298"/>
      <c r="SIO186" s="298"/>
      <c r="SIP186" s="298"/>
      <c r="SIQ186" s="298"/>
      <c r="SIR186" s="298"/>
      <c r="SIS186" s="298"/>
      <c r="SIT186" s="298"/>
      <c r="SIU186" s="298"/>
      <c r="SIV186" s="298"/>
      <c r="SIW186" s="298"/>
      <c r="SIX186" s="298"/>
      <c r="SIY186" s="298"/>
      <c r="SIZ186" s="298"/>
      <c r="SJA186" s="298"/>
      <c r="SJB186" s="298"/>
      <c r="SJC186" s="298"/>
      <c r="SJD186" s="298"/>
      <c r="SJE186" s="298"/>
      <c r="SJF186" s="298"/>
      <c r="SJG186" s="298"/>
      <c r="SJH186" s="298"/>
      <c r="SJI186" s="298"/>
      <c r="SJJ186" s="298"/>
      <c r="SJK186" s="298"/>
      <c r="SJL186" s="298"/>
      <c r="SJM186" s="298"/>
      <c r="SJN186" s="298"/>
      <c r="SJO186" s="298"/>
      <c r="SJP186" s="298"/>
      <c r="SJQ186" s="298"/>
      <c r="SJR186" s="298"/>
      <c r="SJS186" s="298"/>
      <c r="SJT186" s="298"/>
      <c r="SJU186" s="298"/>
      <c r="SJV186" s="298"/>
      <c r="SJW186" s="298"/>
      <c r="SJX186" s="298"/>
      <c r="SJY186" s="298"/>
      <c r="SJZ186" s="298"/>
      <c r="SKA186" s="298"/>
      <c r="SKB186" s="298"/>
      <c r="SKC186" s="298"/>
      <c r="SKD186" s="298"/>
      <c r="SKE186" s="298"/>
      <c r="SKF186" s="298"/>
      <c r="SKG186" s="298"/>
      <c r="SKH186" s="298"/>
      <c r="SKI186" s="298"/>
      <c r="SKJ186" s="298"/>
      <c r="SKK186" s="298"/>
      <c r="SKL186" s="298"/>
      <c r="SKM186" s="298"/>
      <c r="SKN186" s="298"/>
      <c r="SKO186" s="298"/>
      <c r="SKP186" s="298"/>
      <c r="SKQ186" s="298"/>
      <c r="SKR186" s="298"/>
      <c r="SKS186" s="298"/>
      <c r="SKT186" s="298"/>
      <c r="SKU186" s="298"/>
      <c r="SKV186" s="298"/>
      <c r="SKW186" s="298"/>
      <c r="SKX186" s="298"/>
      <c r="SKY186" s="298"/>
      <c r="SKZ186" s="298"/>
      <c r="SLA186" s="298"/>
      <c r="SLB186" s="298"/>
      <c r="SLC186" s="298"/>
      <c r="SLD186" s="298"/>
      <c r="SLE186" s="298"/>
      <c r="SLF186" s="298"/>
      <c r="SLG186" s="298"/>
      <c r="SLH186" s="298"/>
      <c r="SLI186" s="298"/>
      <c r="SLJ186" s="298"/>
      <c r="SLK186" s="298"/>
      <c r="SLL186" s="298"/>
      <c r="SLM186" s="298"/>
      <c r="SLN186" s="298"/>
      <c r="SLO186" s="298"/>
      <c r="SLP186" s="298"/>
      <c r="SLQ186" s="298"/>
      <c r="SLR186" s="298"/>
      <c r="SLS186" s="298"/>
      <c r="SLT186" s="298"/>
      <c r="SLU186" s="298"/>
      <c r="SLV186" s="298"/>
      <c r="SLW186" s="298"/>
      <c r="SLX186" s="298"/>
      <c r="SLY186" s="298"/>
      <c r="SLZ186" s="298"/>
      <c r="SMA186" s="298"/>
      <c r="SMB186" s="298"/>
      <c r="SMC186" s="298"/>
      <c r="SMD186" s="298"/>
      <c r="SME186" s="298"/>
      <c r="SMF186" s="298"/>
      <c r="SMG186" s="298"/>
      <c r="SMH186" s="298"/>
      <c r="SMI186" s="298"/>
      <c r="SMJ186" s="298"/>
      <c r="SMK186" s="298"/>
      <c r="SML186" s="298"/>
      <c r="SMM186" s="298"/>
      <c r="SMN186" s="298"/>
      <c r="SMO186" s="298"/>
      <c r="SMP186" s="298"/>
      <c r="SMQ186" s="298"/>
      <c r="SMR186" s="298"/>
      <c r="SMS186" s="298"/>
      <c r="SMT186" s="298"/>
      <c r="SMU186" s="298"/>
      <c r="SMV186" s="298"/>
      <c r="SMW186" s="298"/>
      <c r="SMX186" s="298"/>
      <c r="SMY186" s="298"/>
      <c r="SMZ186" s="298"/>
      <c r="SNA186" s="298"/>
      <c r="SNB186" s="298"/>
      <c r="SNC186" s="298"/>
      <c r="SND186" s="298"/>
      <c r="SNE186" s="298"/>
      <c r="SNF186" s="298"/>
      <c r="SNG186" s="298"/>
      <c r="SNH186" s="298"/>
      <c r="SNI186" s="298"/>
      <c r="SNJ186" s="298"/>
      <c r="SNK186" s="298"/>
      <c r="SNL186" s="298"/>
      <c r="SNM186" s="298"/>
      <c r="SNN186" s="298"/>
      <c r="SNO186" s="298"/>
      <c r="SNP186" s="298"/>
      <c r="SNQ186" s="298"/>
      <c r="SNR186" s="298"/>
      <c r="SNS186" s="298"/>
      <c r="SNT186" s="298"/>
      <c r="SNU186" s="298"/>
      <c r="SNV186" s="298"/>
      <c r="SNW186" s="298"/>
      <c r="SNX186" s="298"/>
      <c r="SNY186" s="298"/>
      <c r="SNZ186" s="298"/>
      <c r="SOA186" s="298"/>
      <c r="SOB186" s="298"/>
      <c r="SOC186" s="298"/>
      <c r="SOD186" s="298"/>
      <c r="SOE186" s="298"/>
      <c r="SOF186" s="298"/>
      <c r="SOG186" s="298"/>
      <c r="SOH186" s="298"/>
      <c r="SOI186" s="298"/>
      <c r="SOJ186" s="298"/>
      <c r="SOK186" s="298"/>
      <c r="SOL186" s="298"/>
      <c r="SOM186" s="298"/>
      <c r="SON186" s="298"/>
      <c r="SOO186" s="298"/>
      <c r="SOP186" s="298"/>
      <c r="SOQ186" s="298"/>
      <c r="SOR186" s="298"/>
      <c r="SOS186" s="298"/>
      <c r="SOT186" s="298"/>
      <c r="SOU186" s="298"/>
      <c r="SOV186" s="298"/>
      <c r="SOW186" s="298"/>
      <c r="SOX186" s="298"/>
      <c r="SOY186" s="298"/>
      <c r="SOZ186" s="298"/>
      <c r="SPA186" s="298"/>
      <c r="SPB186" s="298"/>
      <c r="SPC186" s="298"/>
      <c r="SPD186" s="298"/>
      <c r="SPE186" s="298"/>
      <c r="SPF186" s="298"/>
      <c r="SPG186" s="298"/>
      <c r="SPH186" s="298"/>
      <c r="SPI186" s="298"/>
      <c r="SPJ186" s="298"/>
      <c r="SPK186" s="298"/>
      <c r="SPL186" s="298"/>
      <c r="SPM186" s="298"/>
      <c r="SPN186" s="298"/>
      <c r="SPO186" s="298"/>
      <c r="SPP186" s="298"/>
      <c r="SPQ186" s="298"/>
      <c r="SPR186" s="298"/>
      <c r="SPS186" s="298"/>
      <c r="SPT186" s="298"/>
      <c r="SPU186" s="298"/>
      <c r="SPV186" s="298"/>
      <c r="SPW186" s="298"/>
      <c r="SPX186" s="298"/>
      <c r="SPY186" s="298"/>
      <c r="SPZ186" s="298"/>
      <c r="SQA186" s="298"/>
      <c r="SQB186" s="298"/>
      <c r="SQC186" s="298"/>
      <c r="SQD186" s="298"/>
      <c r="SQE186" s="298"/>
      <c r="SQF186" s="298"/>
      <c r="SQG186" s="298"/>
      <c r="SQH186" s="298"/>
      <c r="SQI186" s="298"/>
      <c r="SQJ186" s="298"/>
      <c r="SQK186" s="298"/>
      <c r="SQL186" s="298"/>
      <c r="SQM186" s="298"/>
      <c r="SQN186" s="298"/>
      <c r="SQO186" s="298"/>
      <c r="SQP186" s="298"/>
      <c r="SQQ186" s="298"/>
      <c r="SQR186" s="298"/>
      <c r="SQS186" s="298"/>
      <c r="SQT186" s="298"/>
      <c r="SQU186" s="298"/>
      <c r="SQV186" s="298"/>
      <c r="SQW186" s="298"/>
      <c r="SQX186" s="298"/>
      <c r="SQY186" s="298"/>
      <c r="SQZ186" s="298"/>
      <c r="SRA186" s="298"/>
      <c r="SRB186" s="298"/>
      <c r="SRC186" s="298"/>
      <c r="SRD186" s="298"/>
      <c r="SRE186" s="298"/>
      <c r="SRF186" s="298"/>
      <c r="SRG186" s="298"/>
      <c r="SRH186" s="298"/>
      <c r="SRI186" s="298"/>
      <c r="SRJ186" s="298"/>
      <c r="SRK186" s="298"/>
      <c r="SRL186" s="298"/>
      <c r="SRM186" s="298"/>
      <c r="SRN186" s="298"/>
      <c r="SRO186" s="298"/>
      <c r="SRP186" s="298"/>
      <c r="SRQ186" s="298"/>
      <c r="SRR186" s="298"/>
      <c r="SRS186" s="298"/>
      <c r="SRT186" s="298"/>
      <c r="SRU186" s="298"/>
      <c r="SRV186" s="298"/>
      <c r="SRW186" s="298"/>
      <c r="SRX186" s="298"/>
      <c r="SRY186" s="298"/>
      <c r="SRZ186" s="298"/>
      <c r="SSA186" s="298"/>
      <c r="SSB186" s="298"/>
      <c r="SSC186" s="298"/>
      <c r="SSD186" s="298"/>
      <c r="SSE186" s="298"/>
      <c r="SSF186" s="298"/>
      <c r="SSG186" s="298"/>
      <c r="SSH186" s="298"/>
      <c r="SSI186" s="298"/>
      <c r="SSJ186" s="298"/>
      <c r="SSK186" s="298"/>
      <c r="SSL186" s="298"/>
      <c r="SSM186" s="298"/>
      <c r="SSN186" s="298"/>
      <c r="SSO186" s="298"/>
      <c r="SSP186" s="298"/>
      <c r="SSQ186" s="298"/>
      <c r="SSR186" s="298"/>
      <c r="SSS186" s="298"/>
      <c r="SST186" s="298"/>
      <c r="SSU186" s="298"/>
      <c r="SSV186" s="298"/>
      <c r="SSW186" s="298"/>
      <c r="SSX186" s="298"/>
      <c r="SSY186" s="298"/>
      <c r="SSZ186" s="298"/>
      <c r="STA186" s="298"/>
      <c r="STB186" s="298"/>
      <c r="STC186" s="298"/>
      <c r="STD186" s="298"/>
      <c r="STE186" s="298"/>
      <c r="STF186" s="298"/>
      <c r="STG186" s="298"/>
      <c r="STH186" s="298"/>
      <c r="STI186" s="298"/>
      <c r="STJ186" s="298"/>
      <c r="STK186" s="298"/>
      <c r="STL186" s="298"/>
      <c r="STM186" s="298"/>
      <c r="STN186" s="298"/>
      <c r="STO186" s="298"/>
      <c r="STP186" s="298"/>
      <c r="STQ186" s="298"/>
      <c r="STR186" s="298"/>
      <c r="STS186" s="298"/>
      <c r="STT186" s="298"/>
      <c r="STU186" s="298"/>
      <c r="STV186" s="298"/>
      <c r="STW186" s="298"/>
      <c r="STX186" s="298"/>
      <c r="STY186" s="298"/>
      <c r="STZ186" s="298"/>
      <c r="SUA186" s="298"/>
      <c r="SUB186" s="298"/>
      <c r="SUC186" s="298"/>
      <c r="SUD186" s="298"/>
      <c r="SUE186" s="298"/>
      <c r="SUF186" s="298"/>
      <c r="SUG186" s="298"/>
      <c r="SUH186" s="298"/>
      <c r="SUI186" s="298"/>
      <c r="SUJ186" s="298"/>
      <c r="SUK186" s="298"/>
      <c r="SUL186" s="298"/>
      <c r="SUM186" s="298"/>
      <c r="SUN186" s="298"/>
      <c r="SUO186" s="298"/>
      <c r="SUP186" s="298"/>
      <c r="SUQ186" s="298"/>
      <c r="SUR186" s="298"/>
      <c r="SUS186" s="298"/>
      <c r="SUT186" s="298"/>
      <c r="SUU186" s="298"/>
      <c r="SUV186" s="298"/>
      <c r="SUW186" s="298"/>
      <c r="SUX186" s="298"/>
      <c r="SUY186" s="298"/>
      <c r="SUZ186" s="298"/>
      <c r="SVA186" s="298"/>
      <c r="SVB186" s="298"/>
      <c r="SVC186" s="298"/>
      <c r="SVD186" s="298"/>
      <c r="SVE186" s="298"/>
      <c r="SVF186" s="298"/>
      <c r="SVG186" s="298"/>
      <c r="SVH186" s="298"/>
      <c r="SVI186" s="298"/>
      <c r="SVJ186" s="298"/>
      <c r="SVK186" s="298"/>
      <c r="SVL186" s="298"/>
      <c r="SVM186" s="298"/>
      <c r="SVN186" s="298"/>
      <c r="SVO186" s="298"/>
      <c r="SVP186" s="298"/>
      <c r="SVQ186" s="298"/>
      <c r="SVR186" s="298"/>
      <c r="SVS186" s="298"/>
      <c r="SVT186" s="298"/>
      <c r="SVU186" s="298"/>
      <c r="SVV186" s="298"/>
      <c r="SVW186" s="298"/>
      <c r="SVX186" s="298"/>
      <c r="SVY186" s="298"/>
      <c r="SVZ186" s="298"/>
      <c r="SWA186" s="298"/>
      <c r="SWB186" s="298"/>
      <c r="SWC186" s="298"/>
      <c r="SWD186" s="298"/>
      <c r="SWE186" s="298"/>
      <c r="SWF186" s="298"/>
      <c r="SWG186" s="298"/>
      <c r="SWH186" s="298"/>
      <c r="SWI186" s="298"/>
      <c r="SWJ186" s="298"/>
      <c r="SWK186" s="298"/>
      <c r="SWL186" s="298"/>
      <c r="SWM186" s="298"/>
      <c r="SWN186" s="298"/>
      <c r="SWO186" s="298"/>
      <c r="SWP186" s="298"/>
      <c r="SWQ186" s="298"/>
      <c r="SWR186" s="298"/>
      <c r="SWS186" s="298"/>
      <c r="SWT186" s="298"/>
      <c r="SWU186" s="298"/>
      <c r="SWV186" s="298"/>
      <c r="SWW186" s="298"/>
      <c r="SWX186" s="298"/>
      <c r="SWY186" s="298"/>
      <c r="SWZ186" s="298"/>
      <c r="SXA186" s="298"/>
      <c r="SXB186" s="298"/>
      <c r="SXC186" s="298"/>
      <c r="SXD186" s="298"/>
      <c r="SXE186" s="298"/>
      <c r="SXF186" s="298"/>
      <c r="SXG186" s="298"/>
      <c r="SXH186" s="298"/>
      <c r="SXI186" s="298"/>
      <c r="SXJ186" s="298"/>
      <c r="SXK186" s="298"/>
      <c r="SXL186" s="298"/>
      <c r="SXM186" s="298"/>
      <c r="SXN186" s="298"/>
      <c r="SXO186" s="298"/>
      <c r="SXP186" s="298"/>
      <c r="SXQ186" s="298"/>
      <c r="SXR186" s="298"/>
      <c r="SXS186" s="298"/>
      <c r="SXT186" s="298"/>
      <c r="SXU186" s="298"/>
      <c r="SXV186" s="298"/>
      <c r="SXW186" s="298"/>
      <c r="SXX186" s="298"/>
      <c r="SXY186" s="298"/>
      <c r="SXZ186" s="298"/>
      <c r="SYA186" s="298"/>
      <c r="SYB186" s="298"/>
      <c r="SYC186" s="298"/>
      <c r="SYD186" s="298"/>
      <c r="SYE186" s="298"/>
      <c r="SYF186" s="298"/>
      <c r="SYG186" s="298"/>
      <c r="SYH186" s="298"/>
      <c r="SYI186" s="298"/>
      <c r="SYJ186" s="298"/>
      <c r="SYK186" s="298"/>
      <c r="SYL186" s="298"/>
      <c r="SYM186" s="298"/>
      <c r="SYN186" s="298"/>
      <c r="SYO186" s="298"/>
      <c r="SYP186" s="298"/>
      <c r="SYQ186" s="298"/>
      <c r="SYR186" s="298"/>
      <c r="SYS186" s="298"/>
      <c r="SYT186" s="298"/>
      <c r="SYU186" s="298"/>
      <c r="SYV186" s="298"/>
      <c r="SYW186" s="298"/>
      <c r="SYX186" s="298"/>
      <c r="SYY186" s="298"/>
      <c r="SYZ186" s="298"/>
      <c r="SZA186" s="298"/>
      <c r="SZB186" s="298"/>
      <c r="SZC186" s="298"/>
      <c r="SZD186" s="298"/>
      <c r="SZE186" s="298"/>
      <c r="SZF186" s="298"/>
      <c r="SZG186" s="298"/>
      <c r="SZH186" s="298"/>
      <c r="SZI186" s="298"/>
      <c r="SZJ186" s="298"/>
      <c r="SZK186" s="298"/>
      <c r="SZL186" s="298"/>
      <c r="SZM186" s="298"/>
      <c r="SZN186" s="298"/>
      <c r="SZO186" s="298"/>
      <c r="SZP186" s="298"/>
      <c r="SZQ186" s="298"/>
      <c r="SZR186" s="298"/>
      <c r="SZS186" s="298"/>
      <c r="SZT186" s="298"/>
      <c r="SZU186" s="298"/>
      <c r="SZV186" s="298"/>
      <c r="SZW186" s="298"/>
      <c r="SZX186" s="298"/>
      <c r="SZY186" s="298"/>
      <c r="SZZ186" s="298"/>
      <c r="TAA186" s="298"/>
      <c r="TAB186" s="298"/>
      <c r="TAC186" s="298"/>
      <c r="TAD186" s="298"/>
      <c r="TAE186" s="298"/>
      <c r="TAF186" s="298"/>
      <c r="TAG186" s="298"/>
      <c r="TAH186" s="298"/>
      <c r="TAI186" s="298"/>
      <c r="TAJ186" s="298"/>
      <c r="TAK186" s="298"/>
      <c r="TAL186" s="298"/>
      <c r="TAM186" s="298"/>
      <c r="TAN186" s="298"/>
      <c r="TAO186" s="298"/>
      <c r="TAP186" s="298"/>
      <c r="TAQ186" s="298"/>
      <c r="TAR186" s="298"/>
      <c r="TAS186" s="298"/>
      <c r="TAT186" s="298"/>
      <c r="TAU186" s="298"/>
      <c r="TAV186" s="298"/>
      <c r="TAW186" s="298"/>
      <c r="TAX186" s="298"/>
      <c r="TAY186" s="298"/>
      <c r="TAZ186" s="298"/>
      <c r="TBA186" s="298"/>
      <c r="TBB186" s="298"/>
      <c r="TBC186" s="298"/>
      <c r="TBD186" s="298"/>
      <c r="TBE186" s="298"/>
      <c r="TBF186" s="298"/>
      <c r="TBG186" s="298"/>
      <c r="TBH186" s="298"/>
      <c r="TBI186" s="298"/>
      <c r="TBJ186" s="298"/>
      <c r="TBK186" s="298"/>
      <c r="TBL186" s="298"/>
      <c r="TBM186" s="298"/>
      <c r="TBN186" s="298"/>
      <c r="TBO186" s="298"/>
      <c r="TBP186" s="298"/>
      <c r="TBQ186" s="298"/>
      <c r="TBR186" s="298"/>
      <c r="TBS186" s="298"/>
      <c r="TBT186" s="298"/>
      <c r="TBU186" s="298"/>
      <c r="TBV186" s="298"/>
      <c r="TBW186" s="298"/>
      <c r="TBX186" s="298"/>
      <c r="TBY186" s="298"/>
      <c r="TBZ186" s="298"/>
      <c r="TCA186" s="298"/>
      <c r="TCB186" s="298"/>
      <c r="TCC186" s="298"/>
      <c r="TCD186" s="298"/>
      <c r="TCE186" s="298"/>
      <c r="TCF186" s="298"/>
      <c r="TCG186" s="298"/>
      <c r="TCH186" s="298"/>
      <c r="TCI186" s="298"/>
      <c r="TCJ186" s="298"/>
      <c r="TCK186" s="298"/>
      <c r="TCL186" s="298"/>
      <c r="TCM186" s="298"/>
      <c r="TCN186" s="298"/>
      <c r="TCO186" s="298"/>
      <c r="TCP186" s="298"/>
      <c r="TCQ186" s="298"/>
      <c r="TCR186" s="298"/>
      <c r="TCS186" s="298"/>
      <c r="TCT186" s="298"/>
      <c r="TCU186" s="298"/>
      <c r="TCV186" s="298"/>
      <c r="TCW186" s="298"/>
      <c r="TCX186" s="298"/>
      <c r="TCY186" s="298"/>
      <c r="TCZ186" s="298"/>
      <c r="TDA186" s="298"/>
      <c r="TDB186" s="298"/>
      <c r="TDC186" s="298"/>
      <c r="TDD186" s="298"/>
      <c r="TDE186" s="298"/>
      <c r="TDF186" s="298"/>
      <c r="TDG186" s="298"/>
      <c r="TDH186" s="298"/>
      <c r="TDI186" s="298"/>
      <c r="TDJ186" s="298"/>
      <c r="TDK186" s="298"/>
      <c r="TDL186" s="298"/>
      <c r="TDM186" s="298"/>
      <c r="TDN186" s="298"/>
      <c r="TDO186" s="298"/>
      <c r="TDP186" s="298"/>
      <c r="TDQ186" s="298"/>
      <c r="TDR186" s="298"/>
      <c r="TDS186" s="298"/>
      <c r="TDT186" s="298"/>
      <c r="TDU186" s="298"/>
      <c r="TDV186" s="298"/>
      <c r="TDW186" s="298"/>
      <c r="TDX186" s="298"/>
      <c r="TDY186" s="298"/>
      <c r="TDZ186" s="298"/>
      <c r="TEA186" s="298"/>
      <c r="TEB186" s="298"/>
      <c r="TEC186" s="298"/>
      <c r="TED186" s="298"/>
      <c r="TEE186" s="298"/>
      <c r="TEF186" s="298"/>
      <c r="TEG186" s="298"/>
      <c r="TEH186" s="298"/>
      <c r="TEI186" s="298"/>
      <c r="TEJ186" s="298"/>
      <c r="TEK186" s="298"/>
      <c r="TEL186" s="298"/>
      <c r="TEM186" s="298"/>
      <c r="TEN186" s="298"/>
      <c r="TEO186" s="298"/>
      <c r="TEP186" s="298"/>
      <c r="TEQ186" s="298"/>
      <c r="TER186" s="298"/>
      <c r="TES186" s="298"/>
      <c r="TET186" s="298"/>
      <c r="TEU186" s="298"/>
      <c r="TEV186" s="298"/>
      <c r="TEW186" s="298"/>
      <c r="TEX186" s="298"/>
      <c r="TEY186" s="298"/>
      <c r="TEZ186" s="298"/>
      <c r="TFA186" s="298"/>
      <c r="TFB186" s="298"/>
      <c r="TFC186" s="298"/>
      <c r="TFD186" s="298"/>
      <c r="TFE186" s="298"/>
      <c r="TFF186" s="298"/>
      <c r="TFG186" s="298"/>
      <c r="TFH186" s="298"/>
      <c r="TFI186" s="298"/>
      <c r="TFJ186" s="298"/>
      <c r="TFK186" s="298"/>
      <c r="TFL186" s="298"/>
      <c r="TFM186" s="298"/>
      <c r="TFN186" s="298"/>
      <c r="TFO186" s="298"/>
      <c r="TFP186" s="298"/>
      <c r="TFQ186" s="298"/>
      <c r="TFR186" s="298"/>
      <c r="TFS186" s="298"/>
      <c r="TFT186" s="298"/>
      <c r="TFU186" s="298"/>
      <c r="TFV186" s="298"/>
      <c r="TFW186" s="298"/>
      <c r="TFX186" s="298"/>
      <c r="TFY186" s="298"/>
      <c r="TFZ186" s="298"/>
      <c r="TGA186" s="298"/>
      <c r="TGB186" s="298"/>
      <c r="TGC186" s="298"/>
      <c r="TGD186" s="298"/>
      <c r="TGE186" s="298"/>
      <c r="TGF186" s="298"/>
      <c r="TGG186" s="298"/>
      <c r="TGH186" s="298"/>
      <c r="TGI186" s="298"/>
      <c r="TGJ186" s="298"/>
      <c r="TGK186" s="298"/>
      <c r="TGL186" s="298"/>
      <c r="TGM186" s="298"/>
      <c r="TGN186" s="298"/>
      <c r="TGO186" s="298"/>
      <c r="TGP186" s="298"/>
      <c r="TGQ186" s="298"/>
      <c r="TGR186" s="298"/>
      <c r="TGS186" s="298"/>
      <c r="TGT186" s="298"/>
      <c r="TGU186" s="298"/>
      <c r="TGV186" s="298"/>
      <c r="TGW186" s="298"/>
      <c r="TGX186" s="298"/>
      <c r="TGY186" s="298"/>
      <c r="TGZ186" s="298"/>
      <c r="THA186" s="298"/>
      <c r="THB186" s="298"/>
      <c r="THC186" s="298"/>
      <c r="THD186" s="298"/>
      <c r="THE186" s="298"/>
      <c r="THF186" s="298"/>
      <c r="THG186" s="298"/>
      <c r="THH186" s="298"/>
      <c r="THI186" s="298"/>
      <c r="THJ186" s="298"/>
      <c r="THK186" s="298"/>
      <c r="THL186" s="298"/>
      <c r="THM186" s="298"/>
      <c r="THN186" s="298"/>
      <c r="THO186" s="298"/>
      <c r="THP186" s="298"/>
      <c r="THQ186" s="298"/>
      <c r="THR186" s="298"/>
      <c r="THS186" s="298"/>
      <c r="THT186" s="298"/>
      <c r="THU186" s="298"/>
      <c r="THV186" s="298"/>
      <c r="THW186" s="298"/>
      <c r="THX186" s="298"/>
      <c r="THY186" s="298"/>
      <c r="THZ186" s="298"/>
      <c r="TIA186" s="298"/>
      <c r="TIB186" s="298"/>
      <c r="TIC186" s="298"/>
      <c r="TID186" s="298"/>
      <c r="TIE186" s="298"/>
      <c r="TIF186" s="298"/>
      <c r="TIG186" s="298"/>
      <c r="TIH186" s="298"/>
      <c r="TII186" s="298"/>
      <c r="TIJ186" s="298"/>
      <c r="TIK186" s="298"/>
      <c r="TIL186" s="298"/>
      <c r="TIM186" s="298"/>
      <c r="TIN186" s="298"/>
      <c r="TIO186" s="298"/>
      <c r="TIP186" s="298"/>
      <c r="TIQ186" s="298"/>
      <c r="TIR186" s="298"/>
      <c r="TIS186" s="298"/>
      <c r="TIT186" s="298"/>
      <c r="TIU186" s="298"/>
      <c r="TIV186" s="298"/>
      <c r="TIW186" s="298"/>
      <c r="TIX186" s="298"/>
      <c r="TIY186" s="298"/>
      <c r="TIZ186" s="298"/>
      <c r="TJA186" s="298"/>
      <c r="TJB186" s="298"/>
      <c r="TJC186" s="298"/>
      <c r="TJD186" s="298"/>
      <c r="TJE186" s="298"/>
      <c r="TJF186" s="298"/>
      <c r="TJG186" s="298"/>
      <c r="TJH186" s="298"/>
      <c r="TJI186" s="298"/>
      <c r="TJJ186" s="298"/>
      <c r="TJK186" s="298"/>
      <c r="TJL186" s="298"/>
      <c r="TJM186" s="298"/>
      <c r="TJN186" s="298"/>
      <c r="TJO186" s="298"/>
      <c r="TJP186" s="298"/>
      <c r="TJQ186" s="298"/>
      <c r="TJR186" s="298"/>
      <c r="TJS186" s="298"/>
      <c r="TJT186" s="298"/>
      <c r="TJU186" s="298"/>
      <c r="TJV186" s="298"/>
      <c r="TJW186" s="298"/>
      <c r="TJX186" s="298"/>
      <c r="TJY186" s="298"/>
      <c r="TJZ186" s="298"/>
      <c r="TKA186" s="298"/>
      <c r="TKB186" s="298"/>
      <c r="TKC186" s="298"/>
      <c r="TKD186" s="298"/>
      <c r="TKE186" s="298"/>
      <c r="TKF186" s="298"/>
      <c r="TKG186" s="298"/>
      <c r="TKH186" s="298"/>
      <c r="TKI186" s="298"/>
      <c r="TKJ186" s="298"/>
      <c r="TKK186" s="298"/>
      <c r="TKL186" s="298"/>
      <c r="TKM186" s="298"/>
      <c r="TKN186" s="298"/>
      <c r="TKO186" s="298"/>
      <c r="TKP186" s="298"/>
      <c r="TKQ186" s="298"/>
      <c r="TKR186" s="298"/>
      <c r="TKS186" s="298"/>
      <c r="TKT186" s="298"/>
      <c r="TKU186" s="298"/>
      <c r="TKV186" s="298"/>
      <c r="TKW186" s="298"/>
      <c r="TKX186" s="298"/>
      <c r="TKY186" s="298"/>
      <c r="TKZ186" s="298"/>
      <c r="TLA186" s="298"/>
      <c r="TLB186" s="298"/>
      <c r="TLC186" s="298"/>
      <c r="TLD186" s="298"/>
      <c r="TLE186" s="298"/>
      <c r="TLF186" s="298"/>
      <c r="TLG186" s="298"/>
      <c r="TLH186" s="298"/>
      <c r="TLI186" s="298"/>
      <c r="TLJ186" s="298"/>
      <c r="TLK186" s="298"/>
      <c r="TLL186" s="298"/>
      <c r="TLM186" s="298"/>
      <c r="TLN186" s="298"/>
      <c r="TLO186" s="298"/>
      <c r="TLP186" s="298"/>
      <c r="TLQ186" s="298"/>
      <c r="TLR186" s="298"/>
      <c r="TLS186" s="298"/>
      <c r="TLT186" s="298"/>
      <c r="TLU186" s="298"/>
      <c r="TLV186" s="298"/>
      <c r="TLW186" s="298"/>
      <c r="TLX186" s="298"/>
      <c r="TLY186" s="298"/>
      <c r="TLZ186" s="298"/>
      <c r="TMA186" s="298"/>
      <c r="TMB186" s="298"/>
      <c r="TMC186" s="298"/>
      <c r="TMD186" s="298"/>
      <c r="TME186" s="298"/>
      <c r="TMF186" s="298"/>
      <c r="TMG186" s="298"/>
      <c r="TMH186" s="298"/>
      <c r="TMI186" s="298"/>
      <c r="TMJ186" s="298"/>
      <c r="TMK186" s="298"/>
      <c r="TML186" s="298"/>
      <c r="TMM186" s="298"/>
      <c r="TMN186" s="298"/>
      <c r="TMO186" s="298"/>
      <c r="TMP186" s="298"/>
      <c r="TMQ186" s="298"/>
      <c r="TMR186" s="298"/>
      <c r="TMS186" s="298"/>
      <c r="TMT186" s="298"/>
      <c r="TMU186" s="298"/>
      <c r="TMV186" s="298"/>
      <c r="TMW186" s="298"/>
      <c r="TMX186" s="298"/>
      <c r="TMY186" s="298"/>
      <c r="TMZ186" s="298"/>
      <c r="TNA186" s="298"/>
      <c r="TNB186" s="298"/>
      <c r="TNC186" s="298"/>
      <c r="TND186" s="298"/>
      <c r="TNE186" s="298"/>
      <c r="TNF186" s="298"/>
      <c r="TNG186" s="298"/>
      <c r="TNH186" s="298"/>
      <c r="TNI186" s="298"/>
      <c r="TNJ186" s="298"/>
      <c r="TNK186" s="298"/>
      <c r="TNL186" s="298"/>
      <c r="TNM186" s="298"/>
      <c r="TNN186" s="298"/>
      <c r="TNO186" s="298"/>
      <c r="TNP186" s="298"/>
      <c r="TNQ186" s="298"/>
      <c r="TNR186" s="298"/>
      <c r="TNS186" s="298"/>
      <c r="TNT186" s="298"/>
      <c r="TNU186" s="298"/>
      <c r="TNV186" s="298"/>
      <c r="TNW186" s="298"/>
      <c r="TNX186" s="298"/>
      <c r="TNY186" s="298"/>
      <c r="TNZ186" s="298"/>
      <c r="TOA186" s="298"/>
      <c r="TOB186" s="298"/>
      <c r="TOC186" s="298"/>
      <c r="TOD186" s="298"/>
      <c r="TOE186" s="298"/>
      <c r="TOF186" s="298"/>
      <c r="TOG186" s="298"/>
      <c r="TOH186" s="298"/>
      <c r="TOI186" s="298"/>
      <c r="TOJ186" s="298"/>
      <c r="TOK186" s="298"/>
      <c r="TOL186" s="298"/>
      <c r="TOM186" s="298"/>
      <c r="TON186" s="298"/>
      <c r="TOO186" s="298"/>
      <c r="TOP186" s="298"/>
      <c r="TOQ186" s="298"/>
      <c r="TOR186" s="298"/>
      <c r="TOS186" s="298"/>
      <c r="TOT186" s="298"/>
      <c r="TOU186" s="298"/>
      <c r="TOV186" s="298"/>
      <c r="TOW186" s="298"/>
      <c r="TOX186" s="298"/>
      <c r="TOY186" s="298"/>
      <c r="TOZ186" s="298"/>
      <c r="TPA186" s="298"/>
      <c r="TPB186" s="298"/>
      <c r="TPC186" s="298"/>
      <c r="TPD186" s="298"/>
      <c r="TPE186" s="298"/>
      <c r="TPF186" s="298"/>
      <c r="TPG186" s="298"/>
      <c r="TPH186" s="298"/>
      <c r="TPI186" s="298"/>
      <c r="TPJ186" s="298"/>
      <c r="TPK186" s="298"/>
      <c r="TPL186" s="298"/>
      <c r="TPM186" s="298"/>
      <c r="TPN186" s="298"/>
      <c r="TPO186" s="298"/>
      <c r="TPP186" s="298"/>
      <c r="TPQ186" s="298"/>
      <c r="TPR186" s="298"/>
      <c r="TPS186" s="298"/>
      <c r="TPT186" s="298"/>
      <c r="TPU186" s="298"/>
      <c r="TPV186" s="298"/>
      <c r="TPW186" s="298"/>
      <c r="TPX186" s="298"/>
      <c r="TPY186" s="298"/>
      <c r="TPZ186" s="298"/>
      <c r="TQA186" s="298"/>
      <c r="TQB186" s="298"/>
      <c r="TQC186" s="298"/>
      <c r="TQD186" s="298"/>
      <c r="TQE186" s="298"/>
      <c r="TQF186" s="298"/>
      <c r="TQG186" s="298"/>
      <c r="TQH186" s="298"/>
      <c r="TQI186" s="298"/>
      <c r="TQJ186" s="298"/>
      <c r="TQK186" s="298"/>
      <c r="TQL186" s="298"/>
      <c r="TQM186" s="298"/>
      <c r="TQN186" s="298"/>
      <c r="TQO186" s="298"/>
      <c r="TQP186" s="298"/>
      <c r="TQQ186" s="298"/>
      <c r="TQR186" s="298"/>
      <c r="TQS186" s="298"/>
      <c r="TQT186" s="298"/>
      <c r="TQU186" s="298"/>
      <c r="TQV186" s="298"/>
      <c r="TQW186" s="298"/>
      <c r="TQX186" s="298"/>
      <c r="TQY186" s="298"/>
      <c r="TQZ186" s="298"/>
      <c r="TRA186" s="298"/>
      <c r="TRB186" s="298"/>
      <c r="TRC186" s="298"/>
      <c r="TRD186" s="298"/>
      <c r="TRE186" s="298"/>
      <c r="TRF186" s="298"/>
      <c r="TRG186" s="298"/>
      <c r="TRH186" s="298"/>
      <c r="TRI186" s="298"/>
      <c r="TRJ186" s="298"/>
      <c r="TRK186" s="298"/>
      <c r="TRL186" s="298"/>
      <c r="TRM186" s="298"/>
      <c r="TRN186" s="298"/>
      <c r="TRO186" s="298"/>
      <c r="TRP186" s="298"/>
      <c r="TRQ186" s="298"/>
      <c r="TRR186" s="298"/>
      <c r="TRS186" s="298"/>
      <c r="TRT186" s="298"/>
      <c r="TRU186" s="298"/>
      <c r="TRV186" s="298"/>
      <c r="TRW186" s="298"/>
      <c r="TRX186" s="298"/>
      <c r="TRY186" s="298"/>
      <c r="TRZ186" s="298"/>
      <c r="TSA186" s="298"/>
      <c r="TSB186" s="298"/>
      <c r="TSC186" s="298"/>
      <c r="TSD186" s="298"/>
      <c r="TSE186" s="298"/>
      <c r="TSF186" s="298"/>
      <c r="TSG186" s="298"/>
      <c r="TSH186" s="298"/>
      <c r="TSI186" s="298"/>
      <c r="TSJ186" s="298"/>
      <c r="TSK186" s="298"/>
      <c r="TSL186" s="298"/>
      <c r="TSM186" s="298"/>
      <c r="TSN186" s="298"/>
      <c r="TSO186" s="298"/>
      <c r="TSP186" s="298"/>
      <c r="TSQ186" s="298"/>
      <c r="TSR186" s="298"/>
      <c r="TSS186" s="298"/>
      <c r="TST186" s="298"/>
      <c r="TSU186" s="298"/>
      <c r="TSV186" s="298"/>
      <c r="TSW186" s="298"/>
      <c r="TSX186" s="298"/>
      <c r="TSY186" s="298"/>
      <c r="TSZ186" s="298"/>
      <c r="TTA186" s="298"/>
      <c r="TTB186" s="298"/>
      <c r="TTC186" s="298"/>
      <c r="TTD186" s="298"/>
      <c r="TTE186" s="298"/>
      <c r="TTF186" s="298"/>
      <c r="TTG186" s="298"/>
      <c r="TTH186" s="298"/>
      <c r="TTI186" s="298"/>
      <c r="TTJ186" s="298"/>
      <c r="TTK186" s="298"/>
      <c r="TTL186" s="298"/>
      <c r="TTM186" s="298"/>
      <c r="TTN186" s="298"/>
      <c r="TTO186" s="298"/>
      <c r="TTP186" s="298"/>
      <c r="TTQ186" s="298"/>
      <c r="TTR186" s="298"/>
      <c r="TTS186" s="298"/>
      <c r="TTT186" s="298"/>
      <c r="TTU186" s="298"/>
      <c r="TTV186" s="298"/>
      <c r="TTW186" s="298"/>
      <c r="TTX186" s="298"/>
      <c r="TTY186" s="298"/>
      <c r="TTZ186" s="298"/>
      <c r="TUA186" s="298"/>
      <c r="TUB186" s="298"/>
      <c r="TUC186" s="298"/>
      <c r="TUD186" s="298"/>
      <c r="TUE186" s="298"/>
      <c r="TUF186" s="298"/>
      <c r="TUG186" s="298"/>
      <c r="TUH186" s="298"/>
      <c r="TUI186" s="298"/>
      <c r="TUJ186" s="298"/>
      <c r="TUK186" s="298"/>
      <c r="TUL186" s="298"/>
      <c r="TUM186" s="298"/>
      <c r="TUN186" s="298"/>
      <c r="TUO186" s="298"/>
      <c r="TUP186" s="298"/>
      <c r="TUQ186" s="298"/>
      <c r="TUR186" s="298"/>
      <c r="TUS186" s="298"/>
      <c r="TUT186" s="298"/>
      <c r="TUU186" s="298"/>
      <c r="TUV186" s="298"/>
      <c r="TUW186" s="298"/>
      <c r="TUX186" s="298"/>
      <c r="TUY186" s="298"/>
      <c r="TUZ186" s="298"/>
      <c r="TVA186" s="298"/>
      <c r="TVB186" s="298"/>
      <c r="TVC186" s="298"/>
      <c r="TVD186" s="298"/>
      <c r="TVE186" s="298"/>
      <c r="TVF186" s="298"/>
      <c r="TVG186" s="298"/>
      <c r="TVH186" s="298"/>
      <c r="TVI186" s="298"/>
      <c r="TVJ186" s="298"/>
      <c r="TVK186" s="298"/>
      <c r="TVL186" s="298"/>
      <c r="TVM186" s="298"/>
      <c r="TVN186" s="298"/>
      <c r="TVO186" s="298"/>
      <c r="TVP186" s="298"/>
      <c r="TVQ186" s="298"/>
      <c r="TVR186" s="298"/>
      <c r="TVS186" s="298"/>
      <c r="TVT186" s="298"/>
      <c r="TVU186" s="298"/>
      <c r="TVV186" s="298"/>
      <c r="TVW186" s="298"/>
      <c r="TVX186" s="298"/>
      <c r="TVY186" s="298"/>
      <c r="TVZ186" s="298"/>
      <c r="TWA186" s="298"/>
      <c r="TWB186" s="298"/>
      <c r="TWC186" s="298"/>
      <c r="TWD186" s="298"/>
      <c r="TWE186" s="298"/>
      <c r="TWF186" s="298"/>
      <c r="TWG186" s="298"/>
      <c r="TWH186" s="298"/>
      <c r="TWI186" s="298"/>
      <c r="TWJ186" s="298"/>
      <c r="TWK186" s="298"/>
      <c r="TWL186" s="298"/>
      <c r="TWM186" s="298"/>
      <c r="TWN186" s="298"/>
      <c r="TWO186" s="298"/>
      <c r="TWP186" s="298"/>
      <c r="TWQ186" s="298"/>
      <c r="TWR186" s="298"/>
      <c r="TWS186" s="298"/>
      <c r="TWT186" s="298"/>
      <c r="TWU186" s="298"/>
      <c r="TWV186" s="298"/>
      <c r="TWW186" s="298"/>
      <c r="TWX186" s="298"/>
      <c r="TWY186" s="298"/>
      <c r="TWZ186" s="298"/>
      <c r="TXA186" s="298"/>
      <c r="TXB186" s="298"/>
      <c r="TXC186" s="298"/>
      <c r="TXD186" s="298"/>
      <c r="TXE186" s="298"/>
      <c r="TXF186" s="298"/>
      <c r="TXG186" s="298"/>
      <c r="TXH186" s="298"/>
      <c r="TXI186" s="298"/>
      <c r="TXJ186" s="298"/>
      <c r="TXK186" s="298"/>
      <c r="TXL186" s="298"/>
      <c r="TXM186" s="298"/>
      <c r="TXN186" s="298"/>
      <c r="TXO186" s="298"/>
      <c r="TXP186" s="298"/>
      <c r="TXQ186" s="298"/>
      <c r="TXR186" s="298"/>
      <c r="TXS186" s="298"/>
      <c r="TXT186" s="298"/>
      <c r="TXU186" s="298"/>
      <c r="TXV186" s="298"/>
      <c r="TXW186" s="298"/>
      <c r="TXX186" s="298"/>
      <c r="TXY186" s="298"/>
      <c r="TXZ186" s="298"/>
      <c r="TYA186" s="298"/>
      <c r="TYB186" s="298"/>
      <c r="TYC186" s="298"/>
      <c r="TYD186" s="298"/>
      <c r="TYE186" s="298"/>
      <c r="TYF186" s="298"/>
      <c r="TYG186" s="298"/>
      <c r="TYH186" s="298"/>
      <c r="TYI186" s="298"/>
      <c r="TYJ186" s="298"/>
      <c r="TYK186" s="298"/>
      <c r="TYL186" s="298"/>
      <c r="TYM186" s="298"/>
      <c r="TYN186" s="298"/>
      <c r="TYO186" s="298"/>
      <c r="TYP186" s="298"/>
      <c r="TYQ186" s="298"/>
      <c r="TYR186" s="298"/>
      <c r="TYS186" s="298"/>
      <c r="TYT186" s="298"/>
      <c r="TYU186" s="298"/>
      <c r="TYV186" s="298"/>
      <c r="TYW186" s="298"/>
      <c r="TYX186" s="298"/>
      <c r="TYY186" s="298"/>
      <c r="TYZ186" s="298"/>
      <c r="TZA186" s="298"/>
      <c r="TZB186" s="298"/>
      <c r="TZC186" s="298"/>
      <c r="TZD186" s="298"/>
      <c r="TZE186" s="298"/>
      <c r="TZF186" s="298"/>
      <c r="TZG186" s="298"/>
      <c r="TZH186" s="298"/>
      <c r="TZI186" s="298"/>
      <c r="TZJ186" s="298"/>
      <c r="TZK186" s="298"/>
      <c r="TZL186" s="298"/>
      <c r="TZM186" s="298"/>
      <c r="TZN186" s="298"/>
      <c r="TZO186" s="298"/>
      <c r="TZP186" s="298"/>
      <c r="TZQ186" s="298"/>
      <c r="TZR186" s="298"/>
      <c r="TZS186" s="298"/>
      <c r="TZT186" s="298"/>
      <c r="TZU186" s="298"/>
      <c r="TZV186" s="298"/>
      <c r="TZW186" s="298"/>
      <c r="TZX186" s="298"/>
      <c r="TZY186" s="298"/>
      <c r="TZZ186" s="298"/>
      <c r="UAA186" s="298"/>
      <c r="UAB186" s="298"/>
      <c r="UAC186" s="298"/>
      <c r="UAD186" s="298"/>
      <c r="UAE186" s="298"/>
      <c r="UAF186" s="298"/>
      <c r="UAG186" s="298"/>
      <c r="UAH186" s="298"/>
      <c r="UAI186" s="298"/>
      <c r="UAJ186" s="298"/>
      <c r="UAK186" s="298"/>
      <c r="UAL186" s="298"/>
      <c r="UAM186" s="298"/>
      <c r="UAN186" s="298"/>
      <c r="UAO186" s="298"/>
      <c r="UAP186" s="298"/>
      <c r="UAQ186" s="298"/>
      <c r="UAR186" s="298"/>
      <c r="UAS186" s="298"/>
      <c r="UAT186" s="298"/>
      <c r="UAU186" s="298"/>
      <c r="UAV186" s="298"/>
      <c r="UAW186" s="298"/>
      <c r="UAX186" s="298"/>
      <c r="UAY186" s="298"/>
      <c r="UAZ186" s="298"/>
      <c r="UBA186" s="298"/>
      <c r="UBB186" s="298"/>
      <c r="UBC186" s="298"/>
      <c r="UBD186" s="298"/>
      <c r="UBE186" s="298"/>
      <c r="UBF186" s="298"/>
      <c r="UBG186" s="298"/>
      <c r="UBH186" s="298"/>
      <c r="UBI186" s="298"/>
      <c r="UBJ186" s="298"/>
      <c r="UBK186" s="298"/>
      <c r="UBL186" s="298"/>
      <c r="UBM186" s="298"/>
      <c r="UBN186" s="298"/>
      <c r="UBO186" s="298"/>
      <c r="UBP186" s="298"/>
      <c r="UBQ186" s="298"/>
      <c r="UBR186" s="298"/>
      <c r="UBS186" s="298"/>
      <c r="UBT186" s="298"/>
      <c r="UBU186" s="298"/>
      <c r="UBV186" s="298"/>
      <c r="UBW186" s="298"/>
      <c r="UBX186" s="298"/>
      <c r="UBY186" s="298"/>
      <c r="UBZ186" s="298"/>
      <c r="UCA186" s="298"/>
      <c r="UCB186" s="298"/>
      <c r="UCC186" s="298"/>
      <c r="UCD186" s="298"/>
      <c r="UCE186" s="298"/>
      <c r="UCF186" s="298"/>
      <c r="UCG186" s="298"/>
      <c r="UCH186" s="298"/>
      <c r="UCI186" s="298"/>
      <c r="UCJ186" s="298"/>
      <c r="UCK186" s="298"/>
      <c r="UCL186" s="298"/>
      <c r="UCM186" s="298"/>
      <c r="UCN186" s="298"/>
      <c r="UCO186" s="298"/>
      <c r="UCP186" s="298"/>
      <c r="UCQ186" s="298"/>
      <c r="UCR186" s="298"/>
      <c r="UCS186" s="298"/>
      <c r="UCT186" s="298"/>
      <c r="UCU186" s="298"/>
      <c r="UCV186" s="298"/>
      <c r="UCW186" s="298"/>
      <c r="UCX186" s="298"/>
      <c r="UCY186" s="298"/>
      <c r="UCZ186" s="298"/>
      <c r="UDA186" s="298"/>
      <c r="UDB186" s="298"/>
      <c r="UDC186" s="298"/>
      <c r="UDD186" s="298"/>
      <c r="UDE186" s="298"/>
      <c r="UDF186" s="298"/>
      <c r="UDG186" s="298"/>
      <c r="UDH186" s="298"/>
      <c r="UDI186" s="298"/>
      <c r="UDJ186" s="298"/>
      <c r="UDK186" s="298"/>
      <c r="UDL186" s="298"/>
      <c r="UDM186" s="298"/>
      <c r="UDN186" s="298"/>
      <c r="UDO186" s="298"/>
      <c r="UDP186" s="298"/>
      <c r="UDQ186" s="298"/>
      <c r="UDR186" s="298"/>
      <c r="UDS186" s="298"/>
      <c r="UDT186" s="298"/>
      <c r="UDU186" s="298"/>
      <c r="UDV186" s="298"/>
      <c r="UDW186" s="298"/>
      <c r="UDX186" s="298"/>
      <c r="UDY186" s="298"/>
      <c r="UDZ186" s="298"/>
      <c r="UEA186" s="298"/>
      <c r="UEB186" s="298"/>
      <c r="UEC186" s="298"/>
      <c r="UED186" s="298"/>
      <c r="UEE186" s="298"/>
      <c r="UEF186" s="298"/>
      <c r="UEG186" s="298"/>
      <c r="UEH186" s="298"/>
      <c r="UEI186" s="298"/>
      <c r="UEJ186" s="298"/>
      <c r="UEK186" s="298"/>
      <c r="UEL186" s="298"/>
      <c r="UEM186" s="298"/>
      <c r="UEN186" s="298"/>
      <c r="UEO186" s="298"/>
      <c r="UEP186" s="298"/>
      <c r="UEQ186" s="298"/>
      <c r="UER186" s="298"/>
      <c r="UES186" s="298"/>
      <c r="UET186" s="298"/>
      <c r="UEU186" s="298"/>
      <c r="UEV186" s="298"/>
      <c r="UEW186" s="298"/>
      <c r="UEX186" s="298"/>
      <c r="UEY186" s="298"/>
      <c r="UEZ186" s="298"/>
      <c r="UFA186" s="298"/>
      <c r="UFB186" s="298"/>
      <c r="UFC186" s="298"/>
      <c r="UFD186" s="298"/>
      <c r="UFE186" s="298"/>
      <c r="UFF186" s="298"/>
      <c r="UFG186" s="298"/>
      <c r="UFH186" s="298"/>
      <c r="UFI186" s="298"/>
      <c r="UFJ186" s="298"/>
      <c r="UFK186" s="298"/>
      <c r="UFL186" s="298"/>
      <c r="UFM186" s="298"/>
      <c r="UFN186" s="298"/>
      <c r="UFO186" s="298"/>
      <c r="UFP186" s="298"/>
      <c r="UFQ186" s="298"/>
      <c r="UFR186" s="298"/>
      <c r="UFS186" s="298"/>
      <c r="UFT186" s="298"/>
      <c r="UFU186" s="298"/>
      <c r="UFV186" s="298"/>
      <c r="UFW186" s="298"/>
      <c r="UFX186" s="298"/>
      <c r="UFY186" s="298"/>
      <c r="UFZ186" s="298"/>
      <c r="UGA186" s="298"/>
      <c r="UGB186" s="298"/>
      <c r="UGC186" s="298"/>
      <c r="UGD186" s="298"/>
      <c r="UGE186" s="298"/>
      <c r="UGF186" s="298"/>
      <c r="UGG186" s="298"/>
      <c r="UGH186" s="298"/>
      <c r="UGI186" s="298"/>
      <c r="UGJ186" s="298"/>
      <c r="UGK186" s="298"/>
      <c r="UGL186" s="298"/>
      <c r="UGM186" s="298"/>
      <c r="UGN186" s="298"/>
      <c r="UGO186" s="298"/>
      <c r="UGP186" s="298"/>
      <c r="UGQ186" s="298"/>
      <c r="UGR186" s="298"/>
      <c r="UGS186" s="298"/>
      <c r="UGT186" s="298"/>
      <c r="UGU186" s="298"/>
      <c r="UGV186" s="298"/>
      <c r="UGW186" s="298"/>
      <c r="UGX186" s="298"/>
      <c r="UGY186" s="298"/>
      <c r="UGZ186" s="298"/>
      <c r="UHA186" s="298"/>
      <c r="UHB186" s="298"/>
      <c r="UHC186" s="298"/>
      <c r="UHD186" s="298"/>
      <c r="UHE186" s="298"/>
      <c r="UHF186" s="298"/>
      <c r="UHG186" s="298"/>
      <c r="UHH186" s="298"/>
      <c r="UHI186" s="298"/>
      <c r="UHJ186" s="298"/>
      <c r="UHK186" s="298"/>
      <c r="UHL186" s="298"/>
      <c r="UHM186" s="298"/>
      <c r="UHN186" s="298"/>
      <c r="UHO186" s="298"/>
      <c r="UHP186" s="298"/>
      <c r="UHQ186" s="298"/>
      <c r="UHR186" s="298"/>
      <c r="UHS186" s="298"/>
      <c r="UHT186" s="298"/>
      <c r="UHU186" s="298"/>
      <c r="UHV186" s="298"/>
      <c r="UHW186" s="298"/>
      <c r="UHX186" s="298"/>
      <c r="UHY186" s="298"/>
      <c r="UHZ186" s="298"/>
      <c r="UIA186" s="298"/>
      <c r="UIB186" s="298"/>
      <c r="UIC186" s="298"/>
      <c r="UID186" s="298"/>
      <c r="UIE186" s="298"/>
      <c r="UIF186" s="298"/>
      <c r="UIG186" s="298"/>
      <c r="UIH186" s="298"/>
      <c r="UII186" s="298"/>
      <c r="UIJ186" s="298"/>
      <c r="UIK186" s="298"/>
      <c r="UIL186" s="298"/>
      <c r="UIM186" s="298"/>
      <c r="UIN186" s="298"/>
      <c r="UIO186" s="298"/>
      <c r="UIP186" s="298"/>
      <c r="UIQ186" s="298"/>
      <c r="UIR186" s="298"/>
      <c r="UIS186" s="298"/>
      <c r="UIT186" s="298"/>
      <c r="UIU186" s="298"/>
      <c r="UIV186" s="298"/>
      <c r="UIW186" s="298"/>
      <c r="UIX186" s="298"/>
      <c r="UIY186" s="298"/>
      <c r="UIZ186" s="298"/>
      <c r="UJA186" s="298"/>
      <c r="UJB186" s="298"/>
      <c r="UJC186" s="298"/>
      <c r="UJD186" s="298"/>
      <c r="UJE186" s="298"/>
      <c r="UJF186" s="298"/>
      <c r="UJG186" s="298"/>
      <c r="UJH186" s="298"/>
      <c r="UJI186" s="298"/>
      <c r="UJJ186" s="298"/>
      <c r="UJK186" s="298"/>
      <c r="UJL186" s="298"/>
      <c r="UJM186" s="298"/>
      <c r="UJN186" s="298"/>
      <c r="UJO186" s="298"/>
      <c r="UJP186" s="298"/>
      <c r="UJQ186" s="298"/>
      <c r="UJR186" s="298"/>
      <c r="UJS186" s="298"/>
      <c r="UJT186" s="298"/>
      <c r="UJU186" s="298"/>
      <c r="UJV186" s="298"/>
      <c r="UJW186" s="298"/>
      <c r="UJX186" s="298"/>
      <c r="UJY186" s="298"/>
      <c r="UJZ186" s="298"/>
      <c r="UKA186" s="298"/>
      <c r="UKB186" s="298"/>
      <c r="UKC186" s="298"/>
      <c r="UKD186" s="298"/>
      <c r="UKE186" s="298"/>
      <c r="UKF186" s="298"/>
      <c r="UKG186" s="298"/>
      <c r="UKH186" s="298"/>
      <c r="UKI186" s="298"/>
      <c r="UKJ186" s="298"/>
      <c r="UKK186" s="298"/>
      <c r="UKL186" s="298"/>
      <c r="UKM186" s="298"/>
      <c r="UKN186" s="298"/>
      <c r="UKO186" s="298"/>
      <c r="UKP186" s="298"/>
      <c r="UKQ186" s="298"/>
      <c r="UKR186" s="298"/>
      <c r="UKS186" s="298"/>
      <c r="UKT186" s="298"/>
      <c r="UKU186" s="298"/>
      <c r="UKV186" s="298"/>
      <c r="UKW186" s="298"/>
      <c r="UKX186" s="298"/>
      <c r="UKY186" s="298"/>
      <c r="UKZ186" s="298"/>
      <c r="ULA186" s="298"/>
      <c r="ULB186" s="298"/>
      <c r="ULC186" s="298"/>
      <c r="ULD186" s="298"/>
      <c r="ULE186" s="298"/>
      <c r="ULF186" s="298"/>
      <c r="ULG186" s="298"/>
      <c r="ULH186" s="298"/>
      <c r="ULI186" s="298"/>
      <c r="ULJ186" s="298"/>
      <c r="ULK186" s="298"/>
      <c r="ULL186" s="298"/>
      <c r="ULM186" s="298"/>
      <c r="ULN186" s="298"/>
      <c r="ULO186" s="298"/>
      <c r="ULP186" s="298"/>
      <c r="ULQ186" s="298"/>
      <c r="ULR186" s="298"/>
      <c r="ULS186" s="298"/>
      <c r="ULT186" s="298"/>
      <c r="ULU186" s="298"/>
      <c r="ULV186" s="298"/>
      <c r="ULW186" s="298"/>
      <c r="ULX186" s="298"/>
      <c r="ULY186" s="298"/>
      <c r="ULZ186" s="298"/>
      <c r="UMA186" s="298"/>
      <c r="UMB186" s="298"/>
      <c r="UMC186" s="298"/>
      <c r="UMD186" s="298"/>
      <c r="UME186" s="298"/>
      <c r="UMF186" s="298"/>
      <c r="UMG186" s="298"/>
      <c r="UMH186" s="298"/>
      <c r="UMI186" s="298"/>
      <c r="UMJ186" s="298"/>
      <c r="UMK186" s="298"/>
      <c r="UML186" s="298"/>
      <c r="UMM186" s="298"/>
      <c r="UMN186" s="298"/>
      <c r="UMO186" s="298"/>
      <c r="UMP186" s="298"/>
      <c r="UMQ186" s="298"/>
      <c r="UMR186" s="298"/>
      <c r="UMS186" s="298"/>
      <c r="UMT186" s="298"/>
      <c r="UMU186" s="298"/>
      <c r="UMV186" s="298"/>
      <c r="UMW186" s="298"/>
      <c r="UMX186" s="298"/>
      <c r="UMY186" s="298"/>
      <c r="UMZ186" s="298"/>
      <c r="UNA186" s="298"/>
      <c r="UNB186" s="298"/>
      <c r="UNC186" s="298"/>
      <c r="UND186" s="298"/>
      <c r="UNE186" s="298"/>
      <c r="UNF186" s="298"/>
      <c r="UNG186" s="298"/>
      <c r="UNH186" s="298"/>
      <c r="UNI186" s="298"/>
      <c r="UNJ186" s="298"/>
      <c r="UNK186" s="298"/>
      <c r="UNL186" s="298"/>
      <c r="UNM186" s="298"/>
      <c r="UNN186" s="298"/>
      <c r="UNO186" s="298"/>
      <c r="UNP186" s="298"/>
      <c r="UNQ186" s="298"/>
      <c r="UNR186" s="298"/>
      <c r="UNS186" s="298"/>
      <c r="UNT186" s="298"/>
      <c r="UNU186" s="298"/>
      <c r="UNV186" s="298"/>
      <c r="UNW186" s="298"/>
      <c r="UNX186" s="298"/>
      <c r="UNY186" s="298"/>
      <c r="UNZ186" s="298"/>
      <c r="UOA186" s="298"/>
      <c r="UOB186" s="298"/>
      <c r="UOC186" s="298"/>
      <c r="UOD186" s="298"/>
      <c r="UOE186" s="298"/>
      <c r="UOF186" s="298"/>
      <c r="UOG186" s="298"/>
      <c r="UOH186" s="298"/>
      <c r="UOI186" s="298"/>
      <c r="UOJ186" s="298"/>
      <c r="UOK186" s="298"/>
      <c r="UOL186" s="298"/>
      <c r="UOM186" s="298"/>
      <c r="UON186" s="298"/>
      <c r="UOO186" s="298"/>
      <c r="UOP186" s="298"/>
      <c r="UOQ186" s="298"/>
      <c r="UOR186" s="298"/>
      <c r="UOS186" s="298"/>
      <c r="UOT186" s="298"/>
      <c r="UOU186" s="298"/>
      <c r="UOV186" s="298"/>
      <c r="UOW186" s="298"/>
      <c r="UOX186" s="298"/>
      <c r="UOY186" s="298"/>
      <c r="UOZ186" s="298"/>
      <c r="UPA186" s="298"/>
      <c r="UPB186" s="298"/>
      <c r="UPC186" s="298"/>
      <c r="UPD186" s="298"/>
      <c r="UPE186" s="298"/>
      <c r="UPF186" s="298"/>
      <c r="UPG186" s="298"/>
      <c r="UPH186" s="298"/>
      <c r="UPI186" s="298"/>
      <c r="UPJ186" s="298"/>
      <c r="UPK186" s="298"/>
      <c r="UPL186" s="298"/>
      <c r="UPM186" s="298"/>
      <c r="UPN186" s="298"/>
      <c r="UPO186" s="298"/>
      <c r="UPP186" s="298"/>
      <c r="UPQ186" s="298"/>
      <c r="UPR186" s="298"/>
      <c r="UPS186" s="298"/>
      <c r="UPT186" s="298"/>
      <c r="UPU186" s="298"/>
      <c r="UPV186" s="298"/>
      <c r="UPW186" s="298"/>
      <c r="UPX186" s="298"/>
      <c r="UPY186" s="298"/>
      <c r="UPZ186" s="298"/>
      <c r="UQA186" s="298"/>
      <c r="UQB186" s="298"/>
      <c r="UQC186" s="298"/>
      <c r="UQD186" s="298"/>
      <c r="UQE186" s="298"/>
      <c r="UQF186" s="298"/>
      <c r="UQG186" s="298"/>
      <c r="UQH186" s="298"/>
      <c r="UQI186" s="298"/>
      <c r="UQJ186" s="298"/>
      <c r="UQK186" s="298"/>
      <c r="UQL186" s="298"/>
      <c r="UQM186" s="298"/>
      <c r="UQN186" s="298"/>
      <c r="UQO186" s="298"/>
      <c r="UQP186" s="298"/>
      <c r="UQQ186" s="298"/>
      <c r="UQR186" s="298"/>
      <c r="UQS186" s="298"/>
      <c r="UQT186" s="298"/>
      <c r="UQU186" s="298"/>
      <c r="UQV186" s="298"/>
      <c r="UQW186" s="298"/>
      <c r="UQX186" s="298"/>
      <c r="UQY186" s="298"/>
      <c r="UQZ186" s="298"/>
      <c r="URA186" s="298"/>
      <c r="URB186" s="298"/>
      <c r="URC186" s="298"/>
      <c r="URD186" s="298"/>
      <c r="URE186" s="298"/>
      <c r="URF186" s="298"/>
      <c r="URG186" s="298"/>
      <c r="URH186" s="298"/>
      <c r="URI186" s="298"/>
      <c r="URJ186" s="298"/>
      <c r="URK186" s="298"/>
      <c r="URL186" s="298"/>
      <c r="URM186" s="298"/>
      <c r="URN186" s="298"/>
      <c r="URO186" s="298"/>
      <c r="URP186" s="298"/>
      <c r="URQ186" s="298"/>
      <c r="URR186" s="298"/>
      <c r="URS186" s="298"/>
      <c r="URT186" s="298"/>
      <c r="URU186" s="298"/>
      <c r="URV186" s="298"/>
      <c r="URW186" s="298"/>
      <c r="URX186" s="298"/>
      <c r="URY186" s="298"/>
      <c r="URZ186" s="298"/>
      <c r="USA186" s="298"/>
      <c r="USB186" s="298"/>
      <c r="USC186" s="298"/>
      <c r="USD186" s="298"/>
      <c r="USE186" s="298"/>
      <c r="USF186" s="298"/>
      <c r="USG186" s="298"/>
      <c r="USH186" s="298"/>
      <c r="USI186" s="298"/>
      <c r="USJ186" s="298"/>
      <c r="USK186" s="298"/>
      <c r="USL186" s="298"/>
      <c r="USM186" s="298"/>
      <c r="USN186" s="298"/>
      <c r="USO186" s="298"/>
      <c r="USP186" s="298"/>
      <c r="USQ186" s="298"/>
      <c r="USR186" s="298"/>
      <c r="USS186" s="298"/>
      <c r="UST186" s="298"/>
      <c r="USU186" s="298"/>
      <c r="USV186" s="298"/>
      <c r="USW186" s="298"/>
      <c r="USX186" s="298"/>
      <c r="USY186" s="298"/>
      <c r="USZ186" s="298"/>
      <c r="UTA186" s="298"/>
      <c r="UTB186" s="298"/>
      <c r="UTC186" s="298"/>
      <c r="UTD186" s="298"/>
      <c r="UTE186" s="298"/>
      <c r="UTF186" s="298"/>
      <c r="UTG186" s="298"/>
      <c r="UTH186" s="298"/>
      <c r="UTI186" s="298"/>
      <c r="UTJ186" s="298"/>
      <c r="UTK186" s="298"/>
      <c r="UTL186" s="298"/>
      <c r="UTM186" s="298"/>
      <c r="UTN186" s="298"/>
      <c r="UTO186" s="298"/>
      <c r="UTP186" s="298"/>
      <c r="UTQ186" s="298"/>
      <c r="UTR186" s="298"/>
      <c r="UTS186" s="298"/>
      <c r="UTT186" s="298"/>
      <c r="UTU186" s="298"/>
      <c r="UTV186" s="298"/>
      <c r="UTW186" s="298"/>
      <c r="UTX186" s="298"/>
      <c r="UTY186" s="298"/>
      <c r="UTZ186" s="298"/>
      <c r="UUA186" s="298"/>
      <c r="UUB186" s="298"/>
      <c r="UUC186" s="298"/>
      <c r="UUD186" s="298"/>
      <c r="UUE186" s="298"/>
      <c r="UUF186" s="298"/>
      <c r="UUG186" s="298"/>
      <c r="UUH186" s="298"/>
      <c r="UUI186" s="298"/>
      <c r="UUJ186" s="298"/>
      <c r="UUK186" s="298"/>
      <c r="UUL186" s="298"/>
      <c r="UUM186" s="298"/>
      <c r="UUN186" s="298"/>
      <c r="UUO186" s="298"/>
      <c r="UUP186" s="298"/>
      <c r="UUQ186" s="298"/>
      <c r="UUR186" s="298"/>
      <c r="UUS186" s="298"/>
      <c r="UUT186" s="298"/>
      <c r="UUU186" s="298"/>
      <c r="UUV186" s="298"/>
      <c r="UUW186" s="298"/>
      <c r="UUX186" s="298"/>
      <c r="UUY186" s="298"/>
      <c r="UUZ186" s="298"/>
      <c r="UVA186" s="298"/>
      <c r="UVB186" s="298"/>
      <c r="UVC186" s="298"/>
      <c r="UVD186" s="298"/>
      <c r="UVE186" s="298"/>
      <c r="UVF186" s="298"/>
      <c r="UVG186" s="298"/>
      <c r="UVH186" s="298"/>
      <c r="UVI186" s="298"/>
      <c r="UVJ186" s="298"/>
      <c r="UVK186" s="298"/>
      <c r="UVL186" s="298"/>
      <c r="UVM186" s="298"/>
      <c r="UVN186" s="298"/>
      <c r="UVO186" s="298"/>
      <c r="UVP186" s="298"/>
      <c r="UVQ186" s="298"/>
      <c r="UVR186" s="298"/>
      <c r="UVS186" s="298"/>
      <c r="UVT186" s="298"/>
      <c r="UVU186" s="298"/>
      <c r="UVV186" s="298"/>
      <c r="UVW186" s="298"/>
      <c r="UVX186" s="298"/>
      <c r="UVY186" s="298"/>
      <c r="UVZ186" s="298"/>
      <c r="UWA186" s="298"/>
      <c r="UWB186" s="298"/>
      <c r="UWC186" s="298"/>
      <c r="UWD186" s="298"/>
      <c r="UWE186" s="298"/>
      <c r="UWF186" s="298"/>
      <c r="UWG186" s="298"/>
      <c r="UWH186" s="298"/>
      <c r="UWI186" s="298"/>
      <c r="UWJ186" s="298"/>
      <c r="UWK186" s="298"/>
      <c r="UWL186" s="298"/>
      <c r="UWM186" s="298"/>
      <c r="UWN186" s="298"/>
      <c r="UWO186" s="298"/>
      <c r="UWP186" s="298"/>
      <c r="UWQ186" s="298"/>
      <c r="UWR186" s="298"/>
      <c r="UWS186" s="298"/>
      <c r="UWT186" s="298"/>
      <c r="UWU186" s="298"/>
      <c r="UWV186" s="298"/>
      <c r="UWW186" s="298"/>
      <c r="UWX186" s="298"/>
      <c r="UWY186" s="298"/>
      <c r="UWZ186" s="298"/>
      <c r="UXA186" s="298"/>
      <c r="UXB186" s="298"/>
      <c r="UXC186" s="298"/>
      <c r="UXD186" s="298"/>
      <c r="UXE186" s="298"/>
      <c r="UXF186" s="298"/>
      <c r="UXG186" s="298"/>
      <c r="UXH186" s="298"/>
      <c r="UXI186" s="298"/>
      <c r="UXJ186" s="298"/>
      <c r="UXK186" s="298"/>
      <c r="UXL186" s="298"/>
      <c r="UXM186" s="298"/>
      <c r="UXN186" s="298"/>
      <c r="UXO186" s="298"/>
      <c r="UXP186" s="298"/>
      <c r="UXQ186" s="298"/>
      <c r="UXR186" s="298"/>
      <c r="UXS186" s="298"/>
      <c r="UXT186" s="298"/>
      <c r="UXU186" s="298"/>
      <c r="UXV186" s="298"/>
      <c r="UXW186" s="298"/>
      <c r="UXX186" s="298"/>
      <c r="UXY186" s="298"/>
      <c r="UXZ186" s="298"/>
      <c r="UYA186" s="298"/>
      <c r="UYB186" s="298"/>
      <c r="UYC186" s="298"/>
      <c r="UYD186" s="298"/>
      <c r="UYE186" s="298"/>
      <c r="UYF186" s="298"/>
      <c r="UYG186" s="298"/>
      <c r="UYH186" s="298"/>
      <c r="UYI186" s="298"/>
      <c r="UYJ186" s="298"/>
      <c r="UYK186" s="298"/>
      <c r="UYL186" s="298"/>
      <c r="UYM186" s="298"/>
      <c r="UYN186" s="298"/>
      <c r="UYO186" s="298"/>
      <c r="UYP186" s="298"/>
      <c r="UYQ186" s="298"/>
      <c r="UYR186" s="298"/>
      <c r="UYS186" s="298"/>
      <c r="UYT186" s="298"/>
      <c r="UYU186" s="298"/>
      <c r="UYV186" s="298"/>
      <c r="UYW186" s="298"/>
      <c r="UYX186" s="298"/>
      <c r="UYY186" s="298"/>
      <c r="UYZ186" s="298"/>
      <c r="UZA186" s="298"/>
      <c r="UZB186" s="298"/>
      <c r="UZC186" s="298"/>
      <c r="UZD186" s="298"/>
      <c r="UZE186" s="298"/>
      <c r="UZF186" s="298"/>
      <c r="UZG186" s="298"/>
      <c r="UZH186" s="298"/>
      <c r="UZI186" s="298"/>
      <c r="UZJ186" s="298"/>
      <c r="UZK186" s="298"/>
      <c r="UZL186" s="298"/>
      <c r="UZM186" s="298"/>
      <c r="UZN186" s="298"/>
      <c r="UZO186" s="298"/>
      <c r="UZP186" s="298"/>
      <c r="UZQ186" s="298"/>
      <c r="UZR186" s="298"/>
      <c r="UZS186" s="298"/>
      <c r="UZT186" s="298"/>
      <c r="UZU186" s="298"/>
      <c r="UZV186" s="298"/>
      <c r="UZW186" s="298"/>
      <c r="UZX186" s="298"/>
      <c r="UZY186" s="298"/>
      <c r="UZZ186" s="298"/>
      <c r="VAA186" s="298"/>
      <c r="VAB186" s="298"/>
      <c r="VAC186" s="298"/>
      <c r="VAD186" s="298"/>
      <c r="VAE186" s="298"/>
      <c r="VAF186" s="298"/>
      <c r="VAG186" s="298"/>
      <c r="VAH186" s="298"/>
      <c r="VAI186" s="298"/>
      <c r="VAJ186" s="298"/>
      <c r="VAK186" s="298"/>
      <c r="VAL186" s="298"/>
      <c r="VAM186" s="298"/>
      <c r="VAN186" s="298"/>
      <c r="VAO186" s="298"/>
      <c r="VAP186" s="298"/>
      <c r="VAQ186" s="298"/>
      <c r="VAR186" s="298"/>
      <c r="VAS186" s="298"/>
      <c r="VAT186" s="298"/>
      <c r="VAU186" s="298"/>
      <c r="VAV186" s="298"/>
      <c r="VAW186" s="298"/>
      <c r="VAX186" s="298"/>
      <c r="VAY186" s="298"/>
      <c r="VAZ186" s="298"/>
      <c r="VBA186" s="298"/>
      <c r="VBB186" s="298"/>
      <c r="VBC186" s="298"/>
      <c r="VBD186" s="298"/>
      <c r="VBE186" s="298"/>
      <c r="VBF186" s="298"/>
      <c r="VBG186" s="298"/>
      <c r="VBH186" s="298"/>
      <c r="VBI186" s="298"/>
      <c r="VBJ186" s="298"/>
      <c r="VBK186" s="298"/>
      <c r="VBL186" s="298"/>
      <c r="VBM186" s="298"/>
      <c r="VBN186" s="298"/>
      <c r="VBO186" s="298"/>
      <c r="VBP186" s="298"/>
      <c r="VBQ186" s="298"/>
      <c r="VBR186" s="298"/>
      <c r="VBS186" s="298"/>
      <c r="VBT186" s="298"/>
      <c r="VBU186" s="298"/>
      <c r="VBV186" s="298"/>
      <c r="VBW186" s="298"/>
      <c r="VBX186" s="298"/>
      <c r="VBY186" s="298"/>
      <c r="VBZ186" s="298"/>
      <c r="VCA186" s="298"/>
      <c r="VCB186" s="298"/>
      <c r="VCC186" s="298"/>
      <c r="VCD186" s="298"/>
      <c r="VCE186" s="298"/>
      <c r="VCF186" s="298"/>
      <c r="VCG186" s="298"/>
      <c r="VCH186" s="298"/>
      <c r="VCI186" s="298"/>
      <c r="VCJ186" s="298"/>
      <c r="VCK186" s="298"/>
      <c r="VCL186" s="298"/>
      <c r="VCM186" s="298"/>
      <c r="VCN186" s="298"/>
      <c r="VCO186" s="298"/>
      <c r="VCP186" s="298"/>
      <c r="VCQ186" s="298"/>
      <c r="VCR186" s="298"/>
      <c r="VCS186" s="298"/>
      <c r="VCT186" s="298"/>
      <c r="VCU186" s="298"/>
      <c r="VCV186" s="298"/>
      <c r="VCW186" s="298"/>
      <c r="VCX186" s="298"/>
      <c r="VCY186" s="298"/>
      <c r="VCZ186" s="298"/>
      <c r="VDA186" s="298"/>
      <c r="VDB186" s="298"/>
      <c r="VDC186" s="298"/>
      <c r="VDD186" s="298"/>
      <c r="VDE186" s="298"/>
      <c r="VDF186" s="298"/>
      <c r="VDG186" s="298"/>
      <c r="VDH186" s="298"/>
      <c r="VDI186" s="298"/>
      <c r="VDJ186" s="298"/>
      <c r="VDK186" s="298"/>
      <c r="VDL186" s="298"/>
      <c r="VDM186" s="298"/>
      <c r="VDN186" s="298"/>
      <c r="VDO186" s="298"/>
      <c r="VDP186" s="298"/>
      <c r="VDQ186" s="298"/>
      <c r="VDR186" s="298"/>
      <c r="VDS186" s="298"/>
      <c r="VDT186" s="298"/>
      <c r="VDU186" s="298"/>
      <c r="VDV186" s="298"/>
      <c r="VDW186" s="298"/>
      <c r="VDX186" s="298"/>
      <c r="VDY186" s="298"/>
      <c r="VDZ186" s="298"/>
      <c r="VEA186" s="298"/>
      <c r="VEB186" s="298"/>
      <c r="VEC186" s="298"/>
      <c r="VED186" s="298"/>
      <c r="VEE186" s="298"/>
      <c r="VEF186" s="298"/>
      <c r="VEG186" s="298"/>
      <c r="VEH186" s="298"/>
      <c r="VEI186" s="298"/>
      <c r="VEJ186" s="298"/>
      <c r="VEK186" s="298"/>
      <c r="VEL186" s="298"/>
      <c r="VEM186" s="298"/>
      <c r="VEN186" s="298"/>
      <c r="VEO186" s="298"/>
      <c r="VEP186" s="298"/>
      <c r="VEQ186" s="298"/>
      <c r="VER186" s="298"/>
      <c r="VES186" s="298"/>
      <c r="VET186" s="298"/>
      <c r="VEU186" s="298"/>
      <c r="VEV186" s="298"/>
      <c r="VEW186" s="298"/>
      <c r="VEX186" s="298"/>
      <c r="VEY186" s="298"/>
      <c r="VEZ186" s="298"/>
      <c r="VFA186" s="298"/>
      <c r="VFB186" s="298"/>
      <c r="VFC186" s="298"/>
      <c r="VFD186" s="298"/>
      <c r="VFE186" s="298"/>
      <c r="VFF186" s="298"/>
      <c r="VFG186" s="298"/>
      <c r="VFH186" s="298"/>
      <c r="VFI186" s="298"/>
      <c r="VFJ186" s="298"/>
      <c r="VFK186" s="298"/>
      <c r="VFL186" s="298"/>
      <c r="VFM186" s="298"/>
      <c r="VFN186" s="298"/>
      <c r="VFO186" s="298"/>
      <c r="VFP186" s="298"/>
      <c r="VFQ186" s="298"/>
      <c r="VFR186" s="298"/>
      <c r="VFS186" s="298"/>
      <c r="VFT186" s="298"/>
      <c r="VFU186" s="298"/>
      <c r="VFV186" s="298"/>
      <c r="VFW186" s="298"/>
      <c r="VFX186" s="298"/>
      <c r="VFY186" s="298"/>
      <c r="VFZ186" s="298"/>
      <c r="VGA186" s="298"/>
      <c r="VGB186" s="298"/>
      <c r="VGC186" s="298"/>
      <c r="VGD186" s="298"/>
      <c r="VGE186" s="298"/>
      <c r="VGF186" s="298"/>
      <c r="VGG186" s="298"/>
      <c r="VGH186" s="298"/>
      <c r="VGI186" s="298"/>
      <c r="VGJ186" s="298"/>
      <c r="VGK186" s="298"/>
      <c r="VGL186" s="298"/>
      <c r="VGM186" s="298"/>
      <c r="VGN186" s="298"/>
      <c r="VGO186" s="298"/>
      <c r="VGP186" s="298"/>
      <c r="VGQ186" s="298"/>
      <c r="VGR186" s="298"/>
      <c r="VGS186" s="298"/>
      <c r="VGT186" s="298"/>
      <c r="VGU186" s="298"/>
      <c r="VGV186" s="298"/>
      <c r="VGW186" s="298"/>
      <c r="VGX186" s="298"/>
      <c r="VGY186" s="298"/>
      <c r="VGZ186" s="298"/>
      <c r="VHA186" s="298"/>
      <c r="VHB186" s="298"/>
      <c r="VHC186" s="298"/>
      <c r="VHD186" s="298"/>
      <c r="VHE186" s="298"/>
      <c r="VHF186" s="298"/>
      <c r="VHG186" s="298"/>
      <c r="VHH186" s="298"/>
      <c r="VHI186" s="298"/>
      <c r="VHJ186" s="298"/>
      <c r="VHK186" s="298"/>
      <c r="VHL186" s="298"/>
      <c r="VHM186" s="298"/>
      <c r="VHN186" s="298"/>
      <c r="VHO186" s="298"/>
      <c r="VHP186" s="298"/>
      <c r="VHQ186" s="298"/>
      <c r="VHR186" s="298"/>
      <c r="VHS186" s="298"/>
      <c r="VHT186" s="298"/>
      <c r="VHU186" s="298"/>
      <c r="VHV186" s="298"/>
      <c r="VHW186" s="298"/>
      <c r="VHX186" s="298"/>
      <c r="VHY186" s="298"/>
      <c r="VHZ186" s="298"/>
      <c r="VIA186" s="298"/>
      <c r="VIB186" s="298"/>
      <c r="VIC186" s="298"/>
      <c r="VID186" s="298"/>
      <c r="VIE186" s="298"/>
      <c r="VIF186" s="298"/>
      <c r="VIG186" s="298"/>
      <c r="VIH186" s="298"/>
      <c r="VII186" s="298"/>
      <c r="VIJ186" s="298"/>
      <c r="VIK186" s="298"/>
      <c r="VIL186" s="298"/>
      <c r="VIM186" s="298"/>
      <c r="VIN186" s="298"/>
      <c r="VIO186" s="298"/>
      <c r="VIP186" s="298"/>
      <c r="VIQ186" s="298"/>
      <c r="VIR186" s="298"/>
      <c r="VIS186" s="298"/>
      <c r="VIT186" s="298"/>
      <c r="VIU186" s="298"/>
      <c r="VIV186" s="298"/>
      <c r="VIW186" s="298"/>
      <c r="VIX186" s="298"/>
      <c r="VIY186" s="298"/>
      <c r="VIZ186" s="298"/>
      <c r="VJA186" s="298"/>
      <c r="VJB186" s="298"/>
      <c r="VJC186" s="298"/>
      <c r="VJD186" s="298"/>
      <c r="VJE186" s="298"/>
      <c r="VJF186" s="298"/>
      <c r="VJG186" s="298"/>
      <c r="VJH186" s="298"/>
      <c r="VJI186" s="298"/>
      <c r="VJJ186" s="298"/>
      <c r="VJK186" s="298"/>
      <c r="VJL186" s="298"/>
      <c r="VJM186" s="298"/>
      <c r="VJN186" s="298"/>
      <c r="VJO186" s="298"/>
      <c r="VJP186" s="298"/>
      <c r="VJQ186" s="298"/>
      <c r="VJR186" s="298"/>
      <c r="VJS186" s="298"/>
      <c r="VJT186" s="298"/>
      <c r="VJU186" s="298"/>
      <c r="VJV186" s="298"/>
      <c r="VJW186" s="298"/>
      <c r="VJX186" s="298"/>
      <c r="VJY186" s="298"/>
      <c r="VJZ186" s="298"/>
      <c r="VKA186" s="298"/>
      <c r="VKB186" s="298"/>
      <c r="VKC186" s="298"/>
      <c r="VKD186" s="298"/>
      <c r="VKE186" s="298"/>
      <c r="VKF186" s="298"/>
      <c r="VKG186" s="298"/>
      <c r="VKH186" s="298"/>
      <c r="VKI186" s="298"/>
      <c r="VKJ186" s="298"/>
      <c r="VKK186" s="298"/>
      <c r="VKL186" s="298"/>
      <c r="VKM186" s="298"/>
      <c r="VKN186" s="298"/>
      <c r="VKO186" s="298"/>
      <c r="VKP186" s="298"/>
      <c r="VKQ186" s="298"/>
      <c r="VKR186" s="298"/>
      <c r="VKS186" s="298"/>
      <c r="VKT186" s="298"/>
      <c r="VKU186" s="298"/>
      <c r="VKV186" s="298"/>
      <c r="VKW186" s="298"/>
      <c r="VKX186" s="298"/>
      <c r="VKY186" s="298"/>
      <c r="VKZ186" s="298"/>
      <c r="VLA186" s="298"/>
      <c r="VLB186" s="298"/>
      <c r="VLC186" s="298"/>
      <c r="VLD186" s="298"/>
      <c r="VLE186" s="298"/>
      <c r="VLF186" s="298"/>
      <c r="VLG186" s="298"/>
      <c r="VLH186" s="298"/>
      <c r="VLI186" s="298"/>
      <c r="VLJ186" s="298"/>
      <c r="VLK186" s="298"/>
      <c r="VLL186" s="298"/>
      <c r="VLM186" s="298"/>
      <c r="VLN186" s="298"/>
      <c r="VLO186" s="298"/>
      <c r="VLP186" s="298"/>
      <c r="VLQ186" s="298"/>
      <c r="VLR186" s="298"/>
      <c r="VLS186" s="298"/>
      <c r="VLT186" s="298"/>
      <c r="VLU186" s="298"/>
      <c r="VLV186" s="298"/>
      <c r="VLW186" s="298"/>
      <c r="VLX186" s="298"/>
      <c r="VLY186" s="298"/>
      <c r="VLZ186" s="298"/>
      <c r="VMA186" s="298"/>
      <c r="VMB186" s="298"/>
      <c r="VMC186" s="298"/>
      <c r="VMD186" s="298"/>
      <c r="VME186" s="298"/>
      <c r="VMF186" s="298"/>
      <c r="VMG186" s="298"/>
      <c r="VMH186" s="298"/>
      <c r="VMI186" s="298"/>
      <c r="VMJ186" s="298"/>
      <c r="VMK186" s="298"/>
      <c r="VML186" s="298"/>
      <c r="VMM186" s="298"/>
      <c r="VMN186" s="298"/>
      <c r="VMO186" s="298"/>
      <c r="VMP186" s="298"/>
      <c r="VMQ186" s="298"/>
      <c r="VMR186" s="298"/>
      <c r="VMS186" s="298"/>
      <c r="VMT186" s="298"/>
      <c r="VMU186" s="298"/>
      <c r="VMV186" s="298"/>
      <c r="VMW186" s="298"/>
      <c r="VMX186" s="298"/>
      <c r="VMY186" s="298"/>
      <c r="VMZ186" s="298"/>
      <c r="VNA186" s="298"/>
      <c r="VNB186" s="298"/>
      <c r="VNC186" s="298"/>
      <c r="VND186" s="298"/>
      <c r="VNE186" s="298"/>
      <c r="VNF186" s="298"/>
      <c r="VNG186" s="298"/>
      <c r="VNH186" s="298"/>
      <c r="VNI186" s="298"/>
      <c r="VNJ186" s="298"/>
      <c r="VNK186" s="298"/>
      <c r="VNL186" s="298"/>
      <c r="VNM186" s="298"/>
      <c r="VNN186" s="298"/>
      <c r="VNO186" s="298"/>
      <c r="VNP186" s="298"/>
      <c r="VNQ186" s="298"/>
      <c r="VNR186" s="298"/>
      <c r="VNS186" s="298"/>
      <c r="VNT186" s="298"/>
      <c r="VNU186" s="298"/>
      <c r="VNV186" s="298"/>
      <c r="VNW186" s="298"/>
      <c r="VNX186" s="298"/>
      <c r="VNY186" s="298"/>
      <c r="VNZ186" s="298"/>
      <c r="VOA186" s="298"/>
      <c r="VOB186" s="298"/>
      <c r="VOC186" s="298"/>
      <c r="VOD186" s="298"/>
      <c r="VOE186" s="298"/>
      <c r="VOF186" s="298"/>
      <c r="VOG186" s="298"/>
      <c r="VOH186" s="298"/>
      <c r="VOI186" s="298"/>
      <c r="VOJ186" s="298"/>
      <c r="VOK186" s="298"/>
      <c r="VOL186" s="298"/>
      <c r="VOM186" s="298"/>
      <c r="VON186" s="298"/>
      <c r="VOO186" s="298"/>
      <c r="VOP186" s="298"/>
      <c r="VOQ186" s="298"/>
      <c r="VOR186" s="298"/>
      <c r="VOS186" s="298"/>
      <c r="VOT186" s="298"/>
      <c r="VOU186" s="298"/>
      <c r="VOV186" s="298"/>
      <c r="VOW186" s="298"/>
      <c r="VOX186" s="298"/>
      <c r="VOY186" s="298"/>
      <c r="VOZ186" s="298"/>
      <c r="VPA186" s="298"/>
      <c r="VPB186" s="298"/>
      <c r="VPC186" s="298"/>
      <c r="VPD186" s="298"/>
      <c r="VPE186" s="298"/>
      <c r="VPF186" s="298"/>
      <c r="VPG186" s="298"/>
      <c r="VPH186" s="298"/>
      <c r="VPI186" s="298"/>
      <c r="VPJ186" s="298"/>
      <c r="VPK186" s="298"/>
      <c r="VPL186" s="298"/>
      <c r="VPM186" s="298"/>
      <c r="VPN186" s="298"/>
      <c r="VPO186" s="298"/>
      <c r="VPP186" s="298"/>
      <c r="VPQ186" s="298"/>
      <c r="VPR186" s="298"/>
      <c r="VPS186" s="298"/>
      <c r="VPT186" s="298"/>
      <c r="VPU186" s="298"/>
      <c r="VPV186" s="298"/>
      <c r="VPW186" s="298"/>
      <c r="VPX186" s="298"/>
      <c r="VPY186" s="298"/>
      <c r="VPZ186" s="298"/>
      <c r="VQA186" s="298"/>
      <c r="VQB186" s="298"/>
      <c r="VQC186" s="298"/>
      <c r="VQD186" s="298"/>
      <c r="VQE186" s="298"/>
      <c r="VQF186" s="298"/>
      <c r="VQG186" s="298"/>
      <c r="VQH186" s="298"/>
      <c r="VQI186" s="298"/>
      <c r="VQJ186" s="298"/>
      <c r="VQK186" s="298"/>
      <c r="VQL186" s="298"/>
      <c r="VQM186" s="298"/>
      <c r="VQN186" s="298"/>
      <c r="VQO186" s="298"/>
      <c r="VQP186" s="298"/>
      <c r="VQQ186" s="298"/>
      <c r="VQR186" s="298"/>
      <c r="VQS186" s="298"/>
      <c r="VQT186" s="298"/>
      <c r="VQU186" s="298"/>
      <c r="VQV186" s="298"/>
      <c r="VQW186" s="298"/>
      <c r="VQX186" s="298"/>
      <c r="VQY186" s="298"/>
      <c r="VQZ186" s="298"/>
      <c r="VRA186" s="298"/>
      <c r="VRB186" s="298"/>
      <c r="VRC186" s="298"/>
      <c r="VRD186" s="298"/>
      <c r="VRE186" s="298"/>
      <c r="VRF186" s="298"/>
      <c r="VRG186" s="298"/>
      <c r="VRH186" s="298"/>
      <c r="VRI186" s="298"/>
      <c r="VRJ186" s="298"/>
      <c r="VRK186" s="298"/>
      <c r="VRL186" s="298"/>
      <c r="VRM186" s="298"/>
      <c r="VRN186" s="298"/>
      <c r="VRO186" s="298"/>
      <c r="VRP186" s="298"/>
      <c r="VRQ186" s="298"/>
      <c r="VRR186" s="298"/>
      <c r="VRS186" s="298"/>
      <c r="VRT186" s="298"/>
      <c r="VRU186" s="298"/>
      <c r="VRV186" s="298"/>
      <c r="VRW186" s="298"/>
      <c r="VRX186" s="298"/>
      <c r="VRY186" s="298"/>
      <c r="VRZ186" s="298"/>
      <c r="VSA186" s="298"/>
      <c r="VSB186" s="298"/>
      <c r="VSC186" s="298"/>
      <c r="VSD186" s="298"/>
      <c r="VSE186" s="298"/>
      <c r="VSF186" s="298"/>
      <c r="VSG186" s="298"/>
      <c r="VSH186" s="298"/>
      <c r="VSI186" s="298"/>
      <c r="VSJ186" s="298"/>
      <c r="VSK186" s="298"/>
      <c r="VSL186" s="298"/>
      <c r="VSM186" s="298"/>
      <c r="VSN186" s="298"/>
      <c r="VSO186" s="298"/>
      <c r="VSP186" s="298"/>
      <c r="VSQ186" s="298"/>
      <c r="VSR186" s="298"/>
      <c r="VSS186" s="298"/>
      <c r="VST186" s="298"/>
      <c r="VSU186" s="298"/>
      <c r="VSV186" s="298"/>
      <c r="VSW186" s="298"/>
      <c r="VSX186" s="298"/>
      <c r="VSY186" s="298"/>
      <c r="VSZ186" s="298"/>
      <c r="VTA186" s="298"/>
      <c r="VTB186" s="298"/>
      <c r="VTC186" s="298"/>
      <c r="VTD186" s="298"/>
      <c r="VTE186" s="298"/>
      <c r="VTF186" s="298"/>
      <c r="VTG186" s="298"/>
      <c r="VTH186" s="298"/>
      <c r="VTI186" s="298"/>
      <c r="VTJ186" s="298"/>
      <c r="VTK186" s="298"/>
      <c r="VTL186" s="298"/>
      <c r="VTM186" s="298"/>
      <c r="VTN186" s="298"/>
      <c r="VTO186" s="298"/>
      <c r="VTP186" s="298"/>
      <c r="VTQ186" s="298"/>
      <c r="VTR186" s="298"/>
      <c r="VTS186" s="298"/>
      <c r="VTT186" s="298"/>
      <c r="VTU186" s="298"/>
      <c r="VTV186" s="298"/>
      <c r="VTW186" s="298"/>
      <c r="VTX186" s="298"/>
      <c r="VTY186" s="298"/>
      <c r="VTZ186" s="298"/>
      <c r="VUA186" s="298"/>
      <c r="VUB186" s="298"/>
      <c r="VUC186" s="298"/>
      <c r="VUD186" s="298"/>
      <c r="VUE186" s="298"/>
      <c r="VUF186" s="298"/>
      <c r="VUG186" s="298"/>
      <c r="VUH186" s="298"/>
      <c r="VUI186" s="298"/>
      <c r="VUJ186" s="298"/>
      <c r="VUK186" s="298"/>
      <c r="VUL186" s="298"/>
      <c r="VUM186" s="298"/>
      <c r="VUN186" s="298"/>
      <c r="VUO186" s="298"/>
      <c r="VUP186" s="298"/>
      <c r="VUQ186" s="298"/>
      <c r="VUR186" s="298"/>
      <c r="VUS186" s="298"/>
      <c r="VUT186" s="298"/>
      <c r="VUU186" s="298"/>
      <c r="VUV186" s="298"/>
      <c r="VUW186" s="298"/>
      <c r="VUX186" s="298"/>
      <c r="VUY186" s="298"/>
      <c r="VUZ186" s="298"/>
      <c r="VVA186" s="298"/>
      <c r="VVB186" s="298"/>
      <c r="VVC186" s="298"/>
      <c r="VVD186" s="298"/>
      <c r="VVE186" s="298"/>
      <c r="VVF186" s="298"/>
      <c r="VVG186" s="298"/>
      <c r="VVH186" s="298"/>
      <c r="VVI186" s="298"/>
      <c r="VVJ186" s="298"/>
      <c r="VVK186" s="298"/>
      <c r="VVL186" s="298"/>
      <c r="VVM186" s="298"/>
      <c r="VVN186" s="298"/>
      <c r="VVO186" s="298"/>
      <c r="VVP186" s="298"/>
      <c r="VVQ186" s="298"/>
      <c r="VVR186" s="298"/>
      <c r="VVS186" s="298"/>
      <c r="VVT186" s="298"/>
      <c r="VVU186" s="298"/>
      <c r="VVV186" s="298"/>
      <c r="VVW186" s="298"/>
      <c r="VVX186" s="298"/>
      <c r="VVY186" s="298"/>
      <c r="VVZ186" s="298"/>
      <c r="VWA186" s="298"/>
      <c r="VWB186" s="298"/>
      <c r="VWC186" s="298"/>
      <c r="VWD186" s="298"/>
      <c r="VWE186" s="298"/>
      <c r="VWF186" s="298"/>
      <c r="VWG186" s="298"/>
      <c r="VWH186" s="298"/>
      <c r="VWI186" s="298"/>
      <c r="VWJ186" s="298"/>
      <c r="VWK186" s="298"/>
      <c r="VWL186" s="298"/>
      <c r="VWM186" s="298"/>
      <c r="VWN186" s="298"/>
      <c r="VWO186" s="298"/>
      <c r="VWP186" s="298"/>
      <c r="VWQ186" s="298"/>
      <c r="VWR186" s="298"/>
      <c r="VWS186" s="298"/>
      <c r="VWT186" s="298"/>
      <c r="VWU186" s="298"/>
      <c r="VWV186" s="298"/>
      <c r="VWW186" s="298"/>
      <c r="VWX186" s="298"/>
      <c r="VWY186" s="298"/>
      <c r="VWZ186" s="298"/>
      <c r="VXA186" s="298"/>
      <c r="VXB186" s="298"/>
      <c r="VXC186" s="298"/>
      <c r="VXD186" s="298"/>
      <c r="VXE186" s="298"/>
      <c r="VXF186" s="298"/>
      <c r="VXG186" s="298"/>
      <c r="VXH186" s="298"/>
      <c r="VXI186" s="298"/>
      <c r="VXJ186" s="298"/>
      <c r="VXK186" s="298"/>
      <c r="VXL186" s="298"/>
      <c r="VXM186" s="298"/>
      <c r="VXN186" s="298"/>
      <c r="VXO186" s="298"/>
      <c r="VXP186" s="298"/>
      <c r="VXQ186" s="298"/>
      <c r="VXR186" s="298"/>
      <c r="VXS186" s="298"/>
      <c r="VXT186" s="298"/>
      <c r="VXU186" s="298"/>
      <c r="VXV186" s="298"/>
      <c r="VXW186" s="298"/>
      <c r="VXX186" s="298"/>
      <c r="VXY186" s="298"/>
      <c r="VXZ186" s="298"/>
      <c r="VYA186" s="298"/>
      <c r="VYB186" s="298"/>
      <c r="VYC186" s="298"/>
      <c r="VYD186" s="298"/>
      <c r="VYE186" s="298"/>
      <c r="VYF186" s="298"/>
      <c r="VYG186" s="298"/>
      <c r="VYH186" s="298"/>
      <c r="VYI186" s="298"/>
      <c r="VYJ186" s="298"/>
      <c r="VYK186" s="298"/>
      <c r="VYL186" s="298"/>
      <c r="VYM186" s="298"/>
      <c r="VYN186" s="298"/>
      <c r="VYO186" s="298"/>
      <c r="VYP186" s="298"/>
      <c r="VYQ186" s="298"/>
      <c r="VYR186" s="298"/>
      <c r="VYS186" s="298"/>
      <c r="VYT186" s="298"/>
      <c r="VYU186" s="298"/>
      <c r="VYV186" s="298"/>
      <c r="VYW186" s="298"/>
      <c r="VYX186" s="298"/>
      <c r="VYY186" s="298"/>
      <c r="VYZ186" s="298"/>
      <c r="VZA186" s="298"/>
      <c r="VZB186" s="298"/>
      <c r="VZC186" s="298"/>
      <c r="VZD186" s="298"/>
      <c r="VZE186" s="298"/>
      <c r="VZF186" s="298"/>
      <c r="VZG186" s="298"/>
      <c r="VZH186" s="298"/>
      <c r="VZI186" s="298"/>
      <c r="VZJ186" s="298"/>
      <c r="VZK186" s="298"/>
      <c r="VZL186" s="298"/>
      <c r="VZM186" s="298"/>
      <c r="VZN186" s="298"/>
      <c r="VZO186" s="298"/>
      <c r="VZP186" s="298"/>
      <c r="VZQ186" s="298"/>
      <c r="VZR186" s="298"/>
      <c r="VZS186" s="298"/>
      <c r="VZT186" s="298"/>
      <c r="VZU186" s="298"/>
      <c r="VZV186" s="298"/>
      <c r="VZW186" s="298"/>
      <c r="VZX186" s="298"/>
      <c r="VZY186" s="298"/>
      <c r="VZZ186" s="298"/>
      <c r="WAA186" s="298"/>
      <c r="WAB186" s="298"/>
      <c r="WAC186" s="298"/>
      <c r="WAD186" s="298"/>
      <c r="WAE186" s="298"/>
      <c r="WAF186" s="298"/>
      <c r="WAG186" s="298"/>
      <c r="WAH186" s="298"/>
      <c r="WAI186" s="298"/>
      <c r="WAJ186" s="298"/>
      <c r="WAK186" s="298"/>
      <c r="WAL186" s="298"/>
      <c r="WAM186" s="298"/>
      <c r="WAN186" s="298"/>
      <c r="WAO186" s="298"/>
      <c r="WAP186" s="298"/>
      <c r="WAQ186" s="298"/>
      <c r="WAR186" s="298"/>
      <c r="WAS186" s="298"/>
      <c r="WAT186" s="298"/>
      <c r="WAU186" s="298"/>
      <c r="WAV186" s="298"/>
      <c r="WAW186" s="298"/>
      <c r="WAX186" s="298"/>
      <c r="WAY186" s="298"/>
      <c r="WAZ186" s="298"/>
      <c r="WBA186" s="298"/>
      <c r="WBB186" s="298"/>
      <c r="WBC186" s="298"/>
      <c r="WBD186" s="298"/>
      <c r="WBE186" s="298"/>
      <c r="WBF186" s="298"/>
      <c r="WBG186" s="298"/>
      <c r="WBH186" s="298"/>
      <c r="WBI186" s="298"/>
      <c r="WBJ186" s="298"/>
      <c r="WBK186" s="298"/>
      <c r="WBL186" s="298"/>
      <c r="WBM186" s="298"/>
      <c r="WBN186" s="298"/>
      <c r="WBO186" s="298"/>
      <c r="WBP186" s="298"/>
      <c r="WBQ186" s="298"/>
      <c r="WBR186" s="298"/>
      <c r="WBS186" s="298"/>
      <c r="WBT186" s="298"/>
      <c r="WBU186" s="298"/>
      <c r="WBV186" s="298"/>
      <c r="WBW186" s="298"/>
      <c r="WBX186" s="298"/>
      <c r="WBY186" s="298"/>
      <c r="WBZ186" s="298"/>
      <c r="WCA186" s="298"/>
      <c r="WCB186" s="298"/>
      <c r="WCC186" s="298"/>
      <c r="WCD186" s="298"/>
      <c r="WCE186" s="298"/>
      <c r="WCF186" s="298"/>
      <c r="WCG186" s="298"/>
      <c r="WCH186" s="298"/>
      <c r="WCI186" s="298"/>
      <c r="WCJ186" s="298"/>
      <c r="WCK186" s="298"/>
      <c r="WCL186" s="298"/>
      <c r="WCM186" s="298"/>
      <c r="WCN186" s="298"/>
      <c r="WCO186" s="298"/>
      <c r="WCP186" s="298"/>
      <c r="WCQ186" s="298"/>
      <c r="WCR186" s="298"/>
      <c r="WCS186" s="298"/>
      <c r="WCT186" s="298"/>
      <c r="WCU186" s="298"/>
      <c r="WCV186" s="298"/>
      <c r="WCW186" s="298"/>
      <c r="WCX186" s="298"/>
      <c r="WCY186" s="298"/>
      <c r="WCZ186" s="298"/>
      <c r="WDA186" s="298"/>
      <c r="WDB186" s="298"/>
      <c r="WDC186" s="298"/>
      <c r="WDD186" s="298"/>
      <c r="WDE186" s="298"/>
      <c r="WDF186" s="298"/>
      <c r="WDG186" s="298"/>
      <c r="WDH186" s="298"/>
      <c r="WDI186" s="298"/>
      <c r="WDJ186" s="298"/>
      <c r="WDK186" s="298"/>
      <c r="WDL186" s="298"/>
      <c r="WDM186" s="298"/>
      <c r="WDN186" s="298"/>
      <c r="WDO186" s="298"/>
      <c r="WDP186" s="298"/>
      <c r="WDQ186" s="298"/>
      <c r="WDR186" s="298"/>
      <c r="WDS186" s="298"/>
      <c r="WDT186" s="298"/>
      <c r="WDU186" s="298"/>
      <c r="WDV186" s="298"/>
      <c r="WDW186" s="298"/>
      <c r="WDX186" s="298"/>
      <c r="WDY186" s="298"/>
      <c r="WDZ186" s="298"/>
      <c r="WEA186" s="298"/>
      <c r="WEB186" s="298"/>
      <c r="WEC186" s="298"/>
      <c r="WED186" s="298"/>
      <c r="WEE186" s="298"/>
      <c r="WEF186" s="298"/>
      <c r="WEG186" s="298"/>
      <c r="WEH186" s="298"/>
      <c r="WEI186" s="298"/>
      <c r="WEJ186" s="298"/>
      <c r="WEK186" s="298"/>
      <c r="WEL186" s="298"/>
      <c r="WEM186" s="298"/>
      <c r="WEN186" s="298"/>
      <c r="WEO186" s="298"/>
      <c r="WEP186" s="298"/>
      <c r="WEQ186" s="298"/>
      <c r="WER186" s="298"/>
      <c r="WES186" s="298"/>
      <c r="WET186" s="298"/>
      <c r="WEU186" s="298"/>
      <c r="WEV186" s="298"/>
      <c r="WEW186" s="298"/>
      <c r="WEX186" s="298"/>
      <c r="WEY186" s="298"/>
      <c r="WEZ186" s="298"/>
      <c r="WFA186" s="298"/>
      <c r="WFB186" s="298"/>
      <c r="WFC186" s="298"/>
      <c r="WFD186" s="298"/>
      <c r="WFE186" s="298"/>
      <c r="WFF186" s="298"/>
      <c r="WFG186" s="298"/>
      <c r="WFH186" s="298"/>
      <c r="WFI186" s="298"/>
      <c r="WFJ186" s="298"/>
      <c r="WFK186" s="298"/>
      <c r="WFL186" s="298"/>
      <c r="WFM186" s="298"/>
      <c r="WFN186" s="298"/>
      <c r="WFO186" s="298"/>
      <c r="WFP186" s="298"/>
      <c r="WFQ186" s="298"/>
      <c r="WFR186" s="298"/>
      <c r="WFS186" s="298"/>
      <c r="WFT186" s="298"/>
      <c r="WFU186" s="298"/>
      <c r="WFV186" s="298"/>
      <c r="WFW186" s="298"/>
      <c r="WFX186" s="298"/>
      <c r="WFY186" s="298"/>
      <c r="WFZ186" s="298"/>
      <c r="WGA186" s="298"/>
      <c r="WGB186" s="298"/>
      <c r="WGC186" s="298"/>
      <c r="WGD186" s="298"/>
      <c r="WGE186" s="298"/>
      <c r="WGF186" s="298"/>
      <c r="WGG186" s="298"/>
      <c r="WGH186" s="298"/>
      <c r="WGI186" s="298"/>
      <c r="WGJ186" s="298"/>
      <c r="WGK186" s="298"/>
      <c r="WGL186" s="298"/>
      <c r="WGM186" s="298"/>
      <c r="WGN186" s="298"/>
      <c r="WGO186" s="298"/>
      <c r="WGP186" s="298"/>
      <c r="WGQ186" s="298"/>
      <c r="WGR186" s="298"/>
      <c r="WGS186" s="298"/>
      <c r="WGT186" s="298"/>
      <c r="WGU186" s="298"/>
      <c r="WGV186" s="298"/>
      <c r="WGW186" s="298"/>
      <c r="WGX186" s="298"/>
      <c r="WGY186" s="298"/>
      <c r="WGZ186" s="298"/>
      <c r="WHA186" s="298"/>
      <c r="WHB186" s="298"/>
      <c r="WHC186" s="298"/>
      <c r="WHD186" s="298"/>
      <c r="WHE186" s="298"/>
      <c r="WHF186" s="298"/>
      <c r="WHG186" s="298"/>
      <c r="WHH186" s="298"/>
      <c r="WHI186" s="298"/>
      <c r="WHJ186" s="298"/>
      <c r="WHK186" s="298"/>
      <c r="WHL186" s="298"/>
      <c r="WHM186" s="298"/>
      <c r="WHN186" s="298"/>
      <c r="WHO186" s="298"/>
      <c r="WHP186" s="298"/>
      <c r="WHQ186" s="298"/>
      <c r="WHR186" s="298"/>
      <c r="WHS186" s="298"/>
      <c r="WHT186" s="298"/>
      <c r="WHU186" s="298"/>
      <c r="WHV186" s="298"/>
      <c r="WHW186" s="298"/>
      <c r="WHX186" s="298"/>
      <c r="WHY186" s="298"/>
      <c r="WHZ186" s="298"/>
      <c r="WIA186" s="298"/>
      <c r="WIB186" s="298"/>
      <c r="WIC186" s="298"/>
      <c r="WID186" s="298"/>
      <c r="WIE186" s="298"/>
      <c r="WIF186" s="298"/>
      <c r="WIG186" s="298"/>
      <c r="WIH186" s="298"/>
      <c r="WII186" s="298"/>
      <c r="WIJ186" s="298"/>
      <c r="WIK186" s="298"/>
      <c r="WIL186" s="298"/>
      <c r="WIM186" s="298"/>
      <c r="WIN186" s="298"/>
      <c r="WIO186" s="298"/>
      <c r="WIP186" s="298"/>
      <c r="WIQ186" s="298"/>
      <c r="WIR186" s="298"/>
      <c r="WIS186" s="298"/>
      <c r="WIT186" s="298"/>
      <c r="WIU186" s="298"/>
      <c r="WIV186" s="298"/>
      <c r="WIW186" s="298"/>
      <c r="WIX186" s="298"/>
      <c r="WIY186" s="298"/>
      <c r="WIZ186" s="298"/>
      <c r="WJA186" s="298"/>
      <c r="WJB186" s="298"/>
      <c r="WJC186" s="298"/>
      <c r="WJD186" s="298"/>
      <c r="WJE186" s="298"/>
      <c r="WJF186" s="298"/>
      <c r="WJG186" s="298"/>
      <c r="WJH186" s="298"/>
      <c r="WJI186" s="298"/>
      <c r="WJJ186" s="298"/>
      <c r="WJK186" s="298"/>
      <c r="WJL186" s="298"/>
      <c r="WJM186" s="298"/>
      <c r="WJN186" s="298"/>
      <c r="WJO186" s="298"/>
      <c r="WJP186" s="298"/>
      <c r="WJQ186" s="298"/>
      <c r="WJR186" s="298"/>
      <c r="WJS186" s="298"/>
      <c r="WJT186" s="298"/>
      <c r="WJU186" s="298"/>
      <c r="WJV186" s="298"/>
      <c r="WJW186" s="298"/>
      <c r="WJX186" s="298"/>
      <c r="WJY186" s="298"/>
      <c r="WJZ186" s="298"/>
      <c r="WKA186" s="298"/>
      <c r="WKB186" s="298"/>
      <c r="WKC186" s="298"/>
      <c r="WKD186" s="298"/>
      <c r="WKE186" s="298"/>
      <c r="WKF186" s="298"/>
      <c r="WKG186" s="298"/>
      <c r="WKH186" s="298"/>
      <c r="WKI186" s="298"/>
      <c r="WKJ186" s="298"/>
      <c r="WKK186" s="298"/>
      <c r="WKL186" s="298"/>
      <c r="WKM186" s="298"/>
      <c r="WKN186" s="298"/>
      <c r="WKO186" s="298"/>
      <c r="WKP186" s="298"/>
      <c r="WKQ186" s="298"/>
      <c r="WKR186" s="298"/>
      <c r="WKS186" s="298"/>
      <c r="WKT186" s="298"/>
      <c r="WKU186" s="298"/>
      <c r="WKV186" s="298"/>
      <c r="WKW186" s="298"/>
      <c r="WKX186" s="298"/>
      <c r="WKY186" s="298"/>
      <c r="WKZ186" s="298"/>
      <c r="WLA186" s="298"/>
      <c r="WLB186" s="298"/>
      <c r="WLC186" s="298"/>
      <c r="WLD186" s="298"/>
      <c r="WLE186" s="298"/>
      <c r="WLF186" s="298"/>
      <c r="WLG186" s="298"/>
      <c r="WLH186" s="298"/>
      <c r="WLI186" s="298"/>
      <c r="WLJ186" s="298"/>
      <c r="WLK186" s="298"/>
      <c r="WLL186" s="298"/>
      <c r="WLM186" s="298"/>
      <c r="WLN186" s="298"/>
      <c r="WLO186" s="298"/>
      <c r="WLP186" s="298"/>
      <c r="WLQ186" s="298"/>
      <c r="WLR186" s="298"/>
      <c r="WLS186" s="298"/>
      <c r="WLT186" s="298"/>
      <c r="WLU186" s="298"/>
      <c r="WLV186" s="298"/>
      <c r="WLW186" s="298"/>
      <c r="WLX186" s="298"/>
      <c r="WLY186" s="298"/>
      <c r="WLZ186" s="298"/>
      <c r="WMA186" s="298"/>
      <c r="WMB186" s="298"/>
      <c r="WMC186" s="298"/>
      <c r="WMD186" s="298"/>
      <c r="WME186" s="298"/>
      <c r="WMF186" s="298"/>
      <c r="WMG186" s="298"/>
      <c r="WMH186" s="298"/>
      <c r="WMI186" s="298"/>
      <c r="WMJ186" s="298"/>
      <c r="WMK186" s="298"/>
      <c r="WML186" s="298"/>
      <c r="WMM186" s="298"/>
      <c r="WMN186" s="298"/>
      <c r="WMO186" s="298"/>
      <c r="WMP186" s="298"/>
      <c r="WMQ186" s="298"/>
      <c r="WMR186" s="298"/>
      <c r="WMS186" s="298"/>
      <c r="WMT186" s="298"/>
      <c r="WMU186" s="298"/>
      <c r="WMV186" s="298"/>
      <c r="WMW186" s="298"/>
      <c r="WMX186" s="298"/>
      <c r="WMY186" s="298"/>
      <c r="WMZ186" s="298"/>
      <c r="WNA186" s="298"/>
      <c r="WNB186" s="298"/>
      <c r="WNC186" s="298"/>
      <c r="WND186" s="298"/>
      <c r="WNE186" s="298"/>
      <c r="WNF186" s="298"/>
      <c r="WNG186" s="298"/>
      <c r="WNH186" s="298"/>
      <c r="WNI186" s="298"/>
      <c r="WNJ186" s="298"/>
      <c r="WNK186" s="298"/>
      <c r="WNL186" s="298"/>
      <c r="WNM186" s="298"/>
      <c r="WNN186" s="298"/>
      <c r="WNO186" s="298"/>
      <c r="WNP186" s="298"/>
      <c r="WNQ186" s="298"/>
      <c r="WNR186" s="298"/>
      <c r="WNS186" s="298"/>
      <c r="WNT186" s="298"/>
      <c r="WNU186" s="298"/>
      <c r="WNV186" s="298"/>
      <c r="WNW186" s="298"/>
      <c r="WNX186" s="298"/>
      <c r="WNY186" s="298"/>
      <c r="WNZ186" s="298"/>
      <c r="WOA186" s="298"/>
      <c r="WOB186" s="298"/>
      <c r="WOC186" s="298"/>
      <c r="WOD186" s="298"/>
      <c r="WOE186" s="298"/>
      <c r="WOF186" s="298"/>
      <c r="WOG186" s="298"/>
      <c r="WOH186" s="298"/>
      <c r="WOI186" s="298"/>
      <c r="WOJ186" s="298"/>
      <c r="WOK186" s="298"/>
      <c r="WOL186" s="298"/>
      <c r="WOM186" s="298"/>
      <c r="WON186" s="298"/>
      <c r="WOO186" s="298"/>
      <c r="WOP186" s="298"/>
      <c r="WOQ186" s="298"/>
      <c r="WOR186" s="298"/>
      <c r="WOS186" s="298"/>
      <c r="WOT186" s="298"/>
      <c r="WOU186" s="298"/>
      <c r="WOV186" s="298"/>
      <c r="WOW186" s="298"/>
      <c r="WOX186" s="298"/>
      <c r="WOY186" s="298"/>
      <c r="WOZ186" s="298"/>
      <c r="WPA186" s="298"/>
      <c r="WPB186" s="298"/>
      <c r="WPC186" s="298"/>
      <c r="WPD186" s="298"/>
      <c r="WPE186" s="298"/>
      <c r="WPF186" s="298"/>
      <c r="WPG186" s="298"/>
      <c r="WPH186" s="298"/>
      <c r="WPI186" s="298"/>
      <c r="WPJ186" s="298"/>
      <c r="WPK186" s="298"/>
      <c r="WPL186" s="298"/>
      <c r="WPM186" s="298"/>
      <c r="WPN186" s="298"/>
      <c r="WPO186" s="298"/>
      <c r="WPP186" s="298"/>
      <c r="WPQ186" s="298"/>
      <c r="WPR186" s="298"/>
      <c r="WPS186" s="298"/>
      <c r="WPT186" s="298"/>
      <c r="WPU186" s="298"/>
      <c r="WPV186" s="298"/>
      <c r="WPW186" s="298"/>
      <c r="WPX186" s="298"/>
      <c r="WPY186" s="298"/>
      <c r="WPZ186" s="298"/>
      <c r="WQA186" s="298"/>
      <c r="WQB186" s="298"/>
      <c r="WQC186" s="298"/>
      <c r="WQD186" s="298"/>
      <c r="WQE186" s="298"/>
      <c r="WQF186" s="298"/>
      <c r="WQG186" s="298"/>
      <c r="WQH186" s="298"/>
      <c r="WQI186" s="298"/>
      <c r="WQJ186" s="298"/>
      <c r="WQK186" s="298"/>
      <c r="WQL186" s="298"/>
      <c r="WQM186" s="298"/>
      <c r="WQN186" s="298"/>
      <c r="WQO186" s="298"/>
      <c r="WQP186" s="298"/>
      <c r="WQQ186" s="298"/>
      <c r="WQR186" s="298"/>
      <c r="WQS186" s="298"/>
      <c r="WQT186" s="298"/>
      <c r="WQU186" s="298"/>
      <c r="WQV186" s="298"/>
      <c r="WQW186" s="298"/>
      <c r="WQX186" s="298"/>
      <c r="WQY186" s="298"/>
      <c r="WQZ186" s="298"/>
      <c r="WRA186" s="298"/>
      <c r="WRB186" s="298"/>
      <c r="WRC186" s="298"/>
      <c r="WRD186" s="298"/>
      <c r="WRE186" s="298"/>
      <c r="WRF186" s="298"/>
      <c r="WRG186" s="298"/>
      <c r="WRH186" s="298"/>
      <c r="WRI186" s="298"/>
      <c r="WRJ186" s="298"/>
      <c r="WRK186" s="298"/>
      <c r="WRL186" s="298"/>
      <c r="WRM186" s="298"/>
      <c r="WRN186" s="298"/>
      <c r="WRO186" s="298"/>
      <c r="WRP186" s="298"/>
      <c r="WRQ186" s="298"/>
      <c r="WRR186" s="298"/>
      <c r="WRS186" s="298"/>
      <c r="WRT186" s="298"/>
      <c r="WRU186" s="298"/>
      <c r="WRV186" s="298"/>
      <c r="WRW186" s="298"/>
      <c r="WRX186" s="298"/>
      <c r="WRY186" s="298"/>
      <c r="WRZ186" s="298"/>
      <c r="WSA186" s="298"/>
      <c r="WSB186" s="298"/>
      <c r="WSC186" s="298"/>
      <c r="WSD186" s="298"/>
      <c r="WSE186" s="298"/>
      <c r="WSF186" s="298"/>
      <c r="WSG186" s="298"/>
      <c r="WSH186" s="298"/>
      <c r="WSI186" s="298"/>
      <c r="WSJ186" s="298"/>
      <c r="WSK186" s="298"/>
      <c r="WSL186" s="298"/>
      <c r="WSM186" s="298"/>
      <c r="WSN186" s="298"/>
      <c r="WSO186" s="298"/>
      <c r="WSP186" s="298"/>
      <c r="WSQ186" s="298"/>
      <c r="WSR186" s="298"/>
      <c r="WSS186" s="298"/>
      <c r="WST186" s="298"/>
      <c r="WSU186" s="298"/>
      <c r="WSV186" s="298"/>
      <c r="WSW186" s="298"/>
      <c r="WSX186" s="298"/>
      <c r="WSY186" s="298"/>
      <c r="WSZ186" s="298"/>
      <c r="WTA186" s="298"/>
      <c r="WTB186" s="298"/>
      <c r="WTC186" s="298"/>
      <c r="WTD186" s="298"/>
      <c r="WTE186" s="298"/>
      <c r="WTF186" s="298"/>
      <c r="WTG186" s="298"/>
      <c r="WTH186" s="298"/>
      <c r="WTI186" s="298"/>
      <c r="WTJ186" s="298"/>
      <c r="WTK186" s="298"/>
      <c r="WTL186" s="298"/>
      <c r="WTM186" s="298"/>
      <c r="WTN186" s="298"/>
      <c r="WTO186" s="298"/>
      <c r="WTP186" s="298"/>
      <c r="WTQ186" s="298"/>
      <c r="WTR186" s="298"/>
      <c r="WTS186" s="298"/>
      <c r="WTT186" s="298"/>
      <c r="WTU186" s="298"/>
      <c r="WTV186" s="298"/>
      <c r="WTW186" s="298"/>
      <c r="WTX186" s="298"/>
      <c r="WTY186" s="298"/>
      <c r="WTZ186" s="298"/>
      <c r="WUA186" s="298"/>
      <c r="WUB186" s="298"/>
      <c r="WUC186" s="298"/>
      <c r="WUD186" s="298"/>
      <c r="WUE186" s="298"/>
      <c r="WUF186" s="298"/>
      <c r="WUG186" s="298"/>
      <c r="WUH186" s="298"/>
      <c r="WUI186" s="298"/>
      <c r="WUJ186" s="298"/>
      <c r="WUK186" s="298"/>
      <c r="WUL186" s="298"/>
      <c r="WUM186" s="298"/>
      <c r="WUN186" s="298"/>
      <c r="WUO186" s="298"/>
      <c r="WUP186" s="298"/>
      <c r="WUQ186" s="298"/>
      <c r="WUR186" s="298"/>
      <c r="WUS186" s="298"/>
      <c r="WUT186" s="298"/>
      <c r="WUU186" s="298"/>
      <c r="WUV186" s="298"/>
      <c r="WUW186" s="298"/>
      <c r="WUX186" s="298"/>
      <c r="WUY186" s="298"/>
      <c r="WUZ186" s="298"/>
      <c r="WVA186" s="298"/>
      <c r="WVB186" s="298"/>
      <c r="WVC186" s="298"/>
      <c r="WVD186" s="298"/>
      <c r="WVE186" s="298"/>
      <c r="WVF186" s="298"/>
      <c r="WVG186" s="298"/>
      <c r="WVH186" s="298"/>
      <c r="WVI186" s="298"/>
      <c r="WVJ186" s="298"/>
      <c r="WVK186" s="298"/>
      <c r="WVL186" s="298"/>
      <c r="WVM186" s="298"/>
      <c r="WVN186" s="298"/>
      <c r="WVO186" s="298"/>
      <c r="WVP186" s="298"/>
      <c r="WVQ186" s="298"/>
      <c r="WVR186" s="298"/>
      <c r="WVS186" s="298"/>
      <c r="WVT186" s="298"/>
      <c r="WVU186" s="298"/>
      <c r="WVV186" s="298"/>
      <c r="WVW186" s="298"/>
      <c r="WVX186" s="298"/>
      <c r="WVY186" s="298"/>
      <c r="WVZ186" s="298"/>
      <c r="WWA186" s="298"/>
      <c r="WWB186" s="298"/>
      <c r="WWC186" s="298"/>
      <c r="WWD186" s="298"/>
      <c r="WWE186" s="298"/>
      <c r="WWF186" s="298"/>
      <c r="WWG186" s="298"/>
      <c r="WWH186" s="298"/>
      <c r="WWI186" s="298"/>
      <c r="WWJ186" s="298"/>
      <c r="WWK186" s="298"/>
      <c r="WWL186" s="298"/>
      <c r="WWM186" s="298"/>
      <c r="WWN186" s="298"/>
      <c r="WWO186" s="298"/>
      <c r="WWP186" s="298"/>
      <c r="WWQ186" s="298"/>
      <c r="WWR186" s="298"/>
      <c r="WWS186" s="298"/>
      <c r="WWT186" s="298"/>
      <c r="WWU186" s="298"/>
      <c r="WWV186" s="298"/>
      <c r="WWW186" s="298"/>
      <c r="WWX186" s="298"/>
      <c r="WWY186" s="298"/>
      <c r="WWZ186" s="298"/>
      <c r="WXA186" s="298"/>
      <c r="WXB186" s="298"/>
      <c r="WXC186" s="298"/>
      <c r="WXD186" s="298"/>
      <c r="WXE186" s="298"/>
      <c r="WXF186" s="298"/>
      <c r="WXG186" s="298"/>
      <c r="WXH186" s="298"/>
      <c r="WXI186" s="298"/>
      <c r="WXJ186" s="298"/>
      <c r="WXK186" s="298"/>
      <c r="WXL186" s="298"/>
      <c r="WXM186" s="298"/>
      <c r="WXN186" s="298"/>
      <c r="WXO186" s="298"/>
      <c r="WXP186" s="298"/>
      <c r="WXQ186" s="298"/>
      <c r="WXR186" s="298"/>
      <c r="WXS186" s="298"/>
      <c r="WXT186" s="298"/>
      <c r="WXU186" s="298"/>
      <c r="WXV186" s="298"/>
      <c r="WXW186" s="298"/>
      <c r="WXX186" s="298"/>
      <c r="WXY186" s="298"/>
      <c r="WXZ186" s="298"/>
      <c r="WYA186" s="298"/>
      <c r="WYB186" s="298"/>
      <c r="WYC186" s="298"/>
      <c r="WYD186" s="298"/>
      <c r="WYE186" s="298"/>
      <c r="WYF186" s="298"/>
      <c r="WYG186" s="298"/>
      <c r="WYH186" s="298"/>
      <c r="WYI186" s="298"/>
      <c r="WYJ186" s="298"/>
      <c r="WYK186" s="298"/>
      <c r="WYL186" s="298"/>
      <c r="WYM186" s="298"/>
      <c r="WYN186" s="298"/>
      <c r="WYO186" s="298"/>
      <c r="WYP186" s="298"/>
      <c r="WYQ186" s="298"/>
      <c r="WYR186" s="298"/>
      <c r="WYS186" s="298"/>
      <c r="WYT186" s="298"/>
      <c r="WYU186" s="298"/>
      <c r="WYV186" s="298"/>
      <c r="WYW186" s="298"/>
      <c r="WYX186" s="298"/>
      <c r="WYY186" s="298"/>
      <c r="WYZ186" s="298"/>
      <c r="WZA186" s="298"/>
      <c r="WZB186" s="298"/>
      <c r="WZC186" s="298"/>
      <c r="WZD186" s="298"/>
      <c r="WZE186" s="298"/>
      <c r="WZF186" s="298"/>
      <c r="WZG186" s="298"/>
      <c r="WZH186" s="298"/>
      <c r="WZI186" s="298"/>
      <c r="WZJ186" s="298"/>
      <c r="WZK186" s="298"/>
      <c r="WZL186" s="298"/>
      <c r="WZM186" s="298"/>
      <c r="WZN186" s="298"/>
      <c r="WZO186" s="298"/>
      <c r="WZP186" s="298"/>
      <c r="WZQ186" s="298"/>
      <c r="WZR186" s="298"/>
      <c r="WZS186" s="298"/>
      <c r="WZT186" s="298"/>
      <c r="WZU186" s="298"/>
      <c r="WZV186" s="298"/>
      <c r="WZW186" s="298"/>
      <c r="WZX186" s="298"/>
      <c r="WZY186" s="298"/>
      <c r="WZZ186" s="298"/>
      <c r="XAA186" s="298"/>
      <c r="XAB186" s="298"/>
      <c r="XAC186" s="298"/>
      <c r="XAD186" s="298"/>
      <c r="XAE186" s="298"/>
      <c r="XAF186" s="298"/>
      <c r="XAG186" s="298"/>
      <c r="XAH186" s="298"/>
      <c r="XAI186" s="298"/>
      <c r="XAJ186" s="298"/>
      <c r="XAK186" s="298"/>
      <c r="XAL186" s="298"/>
      <c r="XAM186" s="298"/>
      <c r="XAN186" s="298"/>
      <c r="XAO186" s="298"/>
      <c r="XAP186" s="298"/>
      <c r="XAQ186" s="298"/>
      <c r="XAR186" s="298"/>
      <c r="XAS186" s="298"/>
      <c r="XAT186" s="298"/>
      <c r="XAU186" s="298"/>
      <c r="XAV186" s="298"/>
      <c r="XAW186" s="298"/>
      <c r="XAX186" s="298"/>
      <c r="XAY186" s="298"/>
      <c r="XAZ186" s="298"/>
      <c r="XBA186" s="298"/>
      <c r="XBB186" s="298"/>
      <c r="XBC186" s="298"/>
      <c r="XBD186" s="298"/>
      <c r="XBE186" s="298"/>
      <c r="XBF186" s="298"/>
      <c r="XBG186" s="298"/>
      <c r="XBH186" s="298"/>
      <c r="XBI186" s="298"/>
      <c r="XBJ186" s="298"/>
      <c r="XBK186" s="298"/>
      <c r="XBL186" s="298"/>
      <c r="XBM186" s="298"/>
      <c r="XBN186" s="298"/>
      <c r="XBO186" s="298"/>
      <c r="XBP186" s="298"/>
      <c r="XBQ186" s="298"/>
      <c r="XBR186" s="298"/>
      <c r="XBS186" s="298"/>
      <c r="XBT186" s="298"/>
      <c r="XBU186" s="298"/>
      <c r="XBV186" s="298"/>
      <c r="XBW186" s="298"/>
      <c r="XBX186" s="298"/>
      <c r="XBY186" s="298"/>
      <c r="XBZ186" s="298"/>
      <c r="XCA186" s="298"/>
      <c r="XCB186" s="298"/>
      <c r="XCC186" s="298"/>
      <c r="XCD186" s="298"/>
      <c r="XCE186" s="298"/>
      <c r="XCF186" s="298"/>
      <c r="XCG186" s="298"/>
      <c r="XCH186" s="298"/>
      <c r="XCI186" s="298"/>
      <c r="XCJ186" s="298"/>
      <c r="XCK186" s="298"/>
      <c r="XCL186" s="298"/>
      <c r="XCM186" s="298"/>
      <c r="XCN186" s="298"/>
      <c r="XCO186" s="298"/>
      <c r="XCP186" s="298"/>
      <c r="XCQ186" s="298"/>
      <c r="XCR186" s="298"/>
      <c r="XCS186" s="298"/>
      <c r="XCT186" s="298"/>
      <c r="XCU186" s="298"/>
      <c r="XCV186" s="298"/>
      <c r="XCW186" s="298"/>
      <c r="XCX186" s="298"/>
      <c r="XCY186" s="298"/>
      <c r="XCZ186" s="298"/>
      <c r="XDA186" s="298"/>
      <c r="XDB186" s="298"/>
      <c r="XDC186" s="298"/>
      <c r="XDD186" s="298"/>
      <c r="XDE186" s="298"/>
      <c r="XDF186" s="298"/>
      <c r="XDG186" s="298"/>
      <c r="XDH186" s="298"/>
      <c r="XDI186" s="298"/>
      <c r="XDJ186" s="298"/>
      <c r="XDK186" s="298"/>
      <c r="XDL186" s="298"/>
      <c r="XDM186" s="298"/>
      <c r="XDN186" s="298"/>
      <c r="XDO186" s="298"/>
      <c r="XDP186" s="298"/>
      <c r="XDQ186" s="298"/>
      <c r="XDR186" s="298"/>
      <c r="XDS186" s="298"/>
      <c r="XDT186" s="298"/>
      <c r="XDU186" s="298"/>
      <c r="XDV186" s="298"/>
      <c r="XDW186" s="298"/>
      <c r="XDX186" s="298"/>
      <c r="XDY186" s="298"/>
      <c r="XDZ186" s="298"/>
      <c r="XEA186" s="298"/>
      <c r="XEB186" s="298"/>
      <c r="XEC186" s="298"/>
      <c r="XED186" s="298"/>
      <c r="XEE186" s="298"/>
      <c r="XEF186" s="298"/>
      <c r="XEG186" s="298"/>
      <c r="XEH186" s="298"/>
      <c r="XEI186" s="298"/>
      <c r="XEJ186" s="298"/>
      <c r="XEK186" s="298"/>
      <c r="XEL186" s="298"/>
      <c r="XEM186" s="298"/>
      <c r="XEN186" s="298"/>
      <c r="XEO186" s="298"/>
      <c r="XEP186" s="298"/>
      <c r="XEQ186" s="298"/>
      <c r="XER186" s="298"/>
      <c r="XES186" s="298"/>
      <c r="XET186" s="298"/>
      <c r="XEU186" s="298"/>
      <c r="XEV186" s="298"/>
      <c r="XEW186" s="298"/>
      <c r="XEX186" s="298"/>
      <c r="XEY186" s="298"/>
      <c r="XEZ186" s="298"/>
      <c r="XFA186" s="298"/>
      <c r="XFB186" s="298"/>
      <c r="XFC186" s="298"/>
    </row>
    <row r="187" spans="1:16383" s="28" customFormat="1">
      <c r="A187" s="55"/>
      <c r="B187" s="677"/>
      <c r="C187" s="55">
        <v>2015</v>
      </c>
      <c r="D187" s="298">
        <v>80.39</v>
      </c>
      <c r="E187" s="55">
        <f>10*300*2</f>
        <v>6000</v>
      </c>
      <c r="F187" s="238">
        <f>'BW1-Bed and Row Spacing'!J16</f>
        <v>6701.5384615384619</v>
      </c>
      <c r="G187" s="298">
        <f t="shared" si="9"/>
        <v>89.789446153846157</v>
      </c>
      <c r="H187" s="55"/>
      <c r="I187" s="55"/>
      <c r="J187" s="55"/>
      <c r="K187" s="199"/>
      <c r="L187" s="55"/>
      <c r="M187" s="54"/>
      <c r="N187" s="55"/>
      <c r="O187" s="55"/>
      <c r="P187" s="55"/>
      <c r="Q187" s="179"/>
      <c r="R187" s="55"/>
      <c r="S187" s="55"/>
    </row>
    <row r="188" spans="1:16383" s="28" customFormat="1">
      <c r="A188" s="55"/>
      <c r="B188" s="677"/>
      <c r="C188" s="55">
        <v>2015</v>
      </c>
      <c r="D188" s="298">
        <v>41.734999999999999</v>
      </c>
      <c r="E188" s="55">
        <f>10*300*2</f>
        <v>6000</v>
      </c>
      <c r="F188" s="238">
        <f>'BW1-Bed and Row Spacing'!J16</f>
        <v>6701.5384615384619</v>
      </c>
      <c r="G188" s="298">
        <f t="shared" si="9"/>
        <v>46.614784615384615</v>
      </c>
      <c r="H188" s="55"/>
      <c r="I188" s="55"/>
      <c r="J188" s="55"/>
      <c r="K188" s="199"/>
      <c r="L188" s="55"/>
      <c r="M188" s="54"/>
      <c r="N188" s="55"/>
      <c r="O188" s="55"/>
      <c r="P188" s="55"/>
      <c r="Q188" s="179"/>
      <c r="R188" s="55"/>
      <c r="S188" s="55"/>
    </row>
    <row r="189" spans="1:16383" s="28" customFormat="1">
      <c r="A189" s="55"/>
      <c r="B189" s="687"/>
      <c r="C189" s="298"/>
      <c r="D189" s="298"/>
      <c r="E189" s="298"/>
      <c r="F189" s="238"/>
      <c r="G189" s="299">
        <f>AVERAGE(G186:G188)</f>
        <v>60.738229191321501</v>
      </c>
      <c r="H189" s="55">
        <v>2</v>
      </c>
      <c r="I189" s="298"/>
      <c r="J189" s="55"/>
      <c r="K189" s="314"/>
      <c r="L189" s="55"/>
      <c r="M189" s="54"/>
      <c r="N189" s="55"/>
      <c r="O189" s="55"/>
      <c r="P189" s="55"/>
      <c r="Q189" s="179"/>
      <c r="R189" s="55"/>
      <c r="S189" s="55"/>
    </row>
    <row r="190" spans="1:16383" s="28" customFormat="1">
      <c r="A190" s="55"/>
      <c r="B190" s="677" t="str">
        <f>B57</f>
        <v>Eggplant &amp; Peppers</v>
      </c>
      <c r="C190" s="55">
        <v>2014</v>
      </c>
      <c r="D190" s="298">
        <v>58.405833333333341</v>
      </c>
      <c r="E190" s="55">
        <f>7*300*2</f>
        <v>4200</v>
      </c>
      <c r="F190" s="238">
        <f>'BW1-Bed and Row Spacing'!J18</f>
        <v>4148.5714285714284</v>
      </c>
      <c r="G190" s="298">
        <f t="shared" si="9"/>
        <v>57.690659863945584</v>
      </c>
      <c r="H190" s="55"/>
      <c r="I190" s="55"/>
      <c r="J190" s="55"/>
      <c r="K190" s="199"/>
      <c r="L190" s="55"/>
      <c r="M190" s="54"/>
      <c r="N190" s="55"/>
      <c r="O190" s="55"/>
      <c r="P190" s="55"/>
      <c r="Q190" s="179"/>
      <c r="R190" s="55"/>
      <c r="S190" s="55"/>
    </row>
    <row r="191" spans="1:16383" s="28" customFormat="1">
      <c r="A191" s="55"/>
      <c r="B191" s="677"/>
      <c r="C191" s="55">
        <v>2015</v>
      </c>
      <c r="D191" s="298">
        <v>24.800625</v>
      </c>
      <c r="E191" s="55">
        <f>7*300*2</f>
        <v>4200</v>
      </c>
      <c r="F191" s="238">
        <f>'BW1-Bed and Row Spacing'!J18</f>
        <v>4148.5714285714284</v>
      </c>
      <c r="G191" s="298">
        <f t="shared" si="9"/>
        <v>24.496943877551018</v>
      </c>
      <c r="H191" s="55"/>
      <c r="I191" s="55"/>
      <c r="J191" s="55"/>
      <c r="K191" s="199"/>
      <c r="L191" s="55"/>
      <c r="M191" s="54"/>
      <c r="N191" s="55"/>
      <c r="O191" s="55"/>
      <c r="P191" s="55"/>
      <c r="Q191" s="179"/>
      <c r="R191" s="55"/>
      <c r="S191" s="55"/>
    </row>
    <row r="192" spans="1:16383" s="28" customFormat="1">
      <c r="A192" s="55"/>
      <c r="B192" s="677"/>
      <c r="C192" s="55"/>
      <c r="D192" s="298"/>
      <c r="E192" s="55"/>
      <c r="F192" s="238"/>
      <c r="G192" s="299">
        <f>AVERAGE(G190:G191)</f>
        <v>41.093801870748301</v>
      </c>
      <c r="H192" s="55">
        <v>3</v>
      </c>
      <c r="I192" s="55"/>
      <c r="J192" s="55"/>
      <c r="K192" s="199"/>
      <c r="L192" s="55"/>
      <c r="M192" s="54"/>
      <c r="N192" s="55"/>
      <c r="O192" s="55"/>
      <c r="P192" s="55"/>
      <c r="Q192" s="179"/>
      <c r="R192" s="55"/>
      <c r="S192" s="55"/>
    </row>
    <row r="193" spans="1:28" s="28" customFormat="1">
      <c r="A193" s="55"/>
      <c r="B193" s="677" t="str">
        <f>B58</f>
        <v>Garlic</v>
      </c>
      <c r="C193" s="55">
        <v>2015</v>
      </c>
      <c r="D193" s="298">
        <f>8.69*3</f>
        <v>26.07</v>
      </c>
      <c r="E193" s="55">
        <f>7*300*3</f>
        <v>6300</v>
      </c>
      <c r="F193" s="238">
        <f>'BW1-Bed and Row Spacing'!J19</f>
        <v>6222.8571428571422</v>
      </c>
      <c r="G193" s="298">
        <f t="shared" si="9"/>
        <v>25.750775510204083</v>
      </c>
      <c r="H193" s="55"/>
      <c r="I193" s="55"/>
      <c r="J193" s="55"/>
      <c r="K193" s="199"/>
      <c r="L193" s="55"/>
      <c r="M193" s="54"/>
      <c r="N193" s="55"/>
      <c r="O193" s="55"/>
      <c r="P193" s="55"/>
      <c r="Q193" s="179"/>
      <c r="R193" s="55"/>
      <c r="S193" s="55"/>
    </row>
    <row r="194" spans="1:28" s="28" customFormat="1">
      <c r="A194" s="55"/>
      <c r="B194" s="677"/>
      <c r="C194" s="55"/>
      <c r="D194" s="298"/>
      <c r="E194" s="55"/>
      <c r="F194" s="238"/>
      <c r="G194" s="299">
        <f>G193</f>
        <v>25.750775510204083</v>
      </c>
      <c r="H194" s="55">
        <v>3</v>
      </c>
      <c r="I194" s="55"/>
      <c r="J194" s="55"/>
      <c r="K194" s="199"/>
      <c r="L194" s="55"/>
      <c r="M194" s="54"/>
      <c r="N194" s="55"/>
      <c r="O194" s="218"/>
      <c r="P194" s="55"/>
      <c r="Q194" s="179"/>
      <c r="R194" s="55"/>
      <c r="S194" s="55"/>
    </row>
    <row r="195" spans="1:28" s="28" customFormat="1">
      <c r="A195" s="55"/>
      <c r="B195" s="677" t="str">
        <f>B59</f>
        <v>Muskmelon (Cantaloupe)</v>
      </c>
      <c r="C195" s="55">
        <v>2014</v>
      </c>
      <c r="D195" s="298">
        <v>53.667712842712852</v>
      </c>
      <c r="E195" s="55">
        <f>2*300</f>
        <v>600</v>
      </c>
      <c r="F195" s="238">
        <f>'BW1-Bed and Row Spacing'!J26</f>
        <v>2074.2857142857142</v>
      </c>
      <c r="G195" s="298">
        <f t="shared" si="9"/>
        <v>185.53695011337874</v>
      </c>
      <c r="H195" s="55"/>
      <c r="I195" s="55"/>
      <c r="J195" s="55"/>
      <c r="K195" s="199"/>
      <c r="L195" s="55"/>
      <c r="M195" s="54"/>
      <c r="N195" s="55"/>
      <c r="O195" s="218"/>
      <c r="P195" s="55"/>
      <c r="Q195" s="179"/>
      <c r="R195" s="55"/>
      <c r="S195" s="55"/>
    </row>
    <row r="196" spans="1:28" s="28" customFormat="1">
      <c r="A196" s="55"/>
      <c r="B196" s="677"/>
      <c r="C196" s="55">
        <v>2015</v>
      </c>
      <c r="D196" s="298">
        <v>57.43</v>
      </c>
      <c r="E196" s="55">
        <f>2*300</f>
        <v>600</v>
      </c>
      <c r="F196" s="238">
        <f>'BW1-Bed and Row Spacing'!J26</f>
        <v>2074.2857142857142</v>
      </c>
      <c r="G196" s="298">
        <f t="shared" si="9"/>
        <v>198.54371428571429</v>
      </c>
      <c r="H196" s="55"/>
      <c r="I196" s="55"/>
      <c r="J196" s="55"/>
      <c r="K196" s="199"/>
      <c r="L196" s="55"/>
      <c r="M196" s="54"/>
      <c r="N196" s="55"/>
      <c r="O196" s="218"/>
      <c r="P196" s="55"/>
      <c r="Q196" s="178"/>
      <c r="R196" s="55"/>
      <c r="S196" s="55"/>
    </row>
    <row r="197" spans="1:28" s="28" customFormat="1">
      <c r="A197" s="55"/>
      <c r="B197" s="677"/>
      <c r="C197" s="55">
        <v>2014</v>
      </c>
      <c r="D197" s="298">
        <v>48.22</v>
      </c>
      <c r="E197" s="55">
        <f>2*300</f>
        <v>600</v>
      </c>
      <c r="F197" s="238">
        <f>'BW1-Bed and Row Spacing'!J26</f>
        <v>2074.2857142857142</v>
      </c>
      <c r="G197" s="298">
        <f t="shared" si="9"/>
        <v>166.70342857142856</v>
      </c>
      <c r="H197" s="55"/>
      <c r="I197" s="55"/>
      <c r="J197" s="55"/>
      <c r="K197" s="199"/>
      <c r="L197" s="55"/>
      <c r="M197" s="55"/>
      <c r="N197" s="55"/>
      <c r="O197" s="55"/>
      <c r="P197" s="55"/>
      <c r="Q197" s="55"/>
      <c r="R197" s="55"/>
      <c r="S197" s="55"/>
    </row>
    <row r="198" spans="1:28" s="28" customFormat="1">
      <c r="A198" s="55"/>
      <c r="B198" s="677"/>
      <c r="C198" s="55"/>
      <c r="D198" s="298"/>
      <c r="E198" s="55"/>
      <c r="F198" s="238"/>
      <c r="G198" s="299">
        <f>AVERAGE(G195:G197)</f>
        <v>183.59469765684057</v>
      </c>
      <c r="H198" s="55">
        <v>5</v>
      </c>
      <c r="I198" s="55"/>
      <c r="J198" s="55"/>
      <c r="K198" s="199"/>
      <c r="L198" s="55"/>
      <c r="M198" s="55"/>
      <c r="N198" s="55"/>
      <c r="O198" s="55"/>
      <c r="P198" s="55"/>
      <c r="Q198" s="55"/>
      <c r="R198" s="55"/>
      <c r="S198" s="55"/>
    </row>
    <row r="199" spans="1:28" s="28" customFormat="1">
      <c r="A199" s="55"/>
      <c r="B199" s="677" t="str">
        <f>B60</f>
        <v xml:space="preserve">Onions &amp; Leeks </v>
      </c>
      <c r="C199" s="55"/>
      <c r="D199" s="298">
        <v>44.070000000000007</v>
      </c>
      <c r="E199" s="55">
        <f>10*300*2</f>
        <v>6000</v>
      </c>
      <c r="F199" s="238">
        <f>'BW1-Bed and Row Spacing'!J27</f>
        <v>6701.5384615384619</v>
      </c>
      <c r="G199" s="298">
        <f t="shared" si="9"/>
        <v>49.222800000000007</v>
      </c>
      <c r="H199" s="55"/>
      <c r="I199" s="55"/>
      <c r="J199" s="55"/>
      <c r="K199" s="199"/>
      <c r="L199" s="55"/>
      <c r="M199" s="55"/>
      <c r="N199" s="55"/>
      <c r="O199" s="55"/>
      <c r="P199" s="55"/>
      <c r="Q199" s="55"/>
      <c r="R199" s="55"/>
      <c r="S199" s="54"/>
    </row>
    <row r="200" spans="1:28" s="28" customFormat="1">
      <c r="A200" s="55"/>
      <c r="B200" s="677"/>
      <c r="C200" s="55"/>
      <c r="D200" s="298">
        <v>46.614999999999995</v>
      </c>
      <c r="E200" s="55">
        <f>10*300*2</f>
        <v>6000</v>
      </c>
      <c r="F200" s="238">
        <f>'BW1-Bed and Row Spacing'!J27</f>
        <v>6701.5384615384619</v>
      </c>
      <c r="G200" s="298">
        <f t="shared" si="9"/>
        <v>52.065369230769228</v>
      </c>
      <c r="H200" s="55"/>
      <c r="I200" s="55"/>
      <c r="J200" s="55"/>
      <c r="K200" s="199"/>
      <c r="L200" s="55"/>
      <c r="M200" s="55"/>
      <c r="N200" s="55"/>
      <c r="O200" s="55"/>
      <c r="P200" s="55"/>
      <c r="Q200" s="55"/>
      <c r="R200" s="55"/>
      <c r="S200" s="54"/>
      <c r="AB200" s="52"/>
    </row>
    <row r="201" spans="1:28" s="28" customFormat="1">
      <c r="A201" s="55"/>
      <c r="B201" s="677"/>
      <c r="C201" s="55"/>
      <c r="D201" s="298"/>
      <c r="E201" s="55"/>
      <c r="F201" s="238"/>
      <c r="G201" s="299">
        <f>AVERAGE(G199:G200)</f>
        <v>50.644084615384614</v>
      </c>
      <c r="H201" s="55">
        <v>3</v>
      </c>
      <c r="I201" s="55"/>
      <c r="J201" s="55"/>
      <c r="K201" s="199"/>
      <c r="L201" s="55"/>
      <c r="M201" s="55"/>
      <c r="N201" s="55"/>
      <c r="O201" s="55"/>
      <c r="P201" s="55"/>
      <c r="Q201" s="55"/>
      <c r="R201" s="55"/>
      <c r="S201" s="54"/>
      <c r="AB201" s="52"/>
    </row>
    <row r="202" spans="1:28" s="28" customFormat="1">
      <c r="A202" s="55"/>
      <c r="B202" s="677" t="str">
        <f>B61</f>
        <v>Potatoes</v>
      </c>
      <c r="C202" s="55">
        <v>2014</v>
      </c>
      <c r="D202" s="298">
        <v>160.22586666666666</v>
      </c>
      <c r="E202" s="55">
        <f>8*300*2</f>
        <v>4800</v>
      </c>
      <c r="F202" s="238">
        <f>'BW1-Bed and Row Spacing'!J29</f>
        <v>4840</v>
      </c>
      <c r="G202" s="298">
        <f t="shared" si="9"/>
        <v>161.56108222222224</v>
      </c>
      <c r="H202" s="55"/>
      <c r="I202" s="55"/>
      <c r="J202" s="55"/>
      <c r="K202" s="199"/>
      <c r="L202" s="55"/>
      <c r="M202" s="55"/>
      <c r="N202" s="55"/>
      <c r="O202" s="55"/>
      <c r="P202" s="55"/>
      <c r="Q202" s="55"/>
      <c r="R202" s="55"/>
      <c r="S202" s="54"/>
    </row>
    <row r="203" spans="1:28" s="28" customFormat="1">
      <c r="A203" s="55"/>
      <c r="B203" s="677"/>
      <c r="C203" s="55">
        <v>2015</v>
      </c>
      <c r="D203" s="298">
        <v>76.652500000000003</v>
      </c>
      <c r="E203" s="55">
        <f>8*300*2</f>
        <v>4800</v>
      </c>
      <c r="F203" s="238">
        <f>'BW1-Bed and Row Spacing'!J29</f>
        <v>4840</v>
      </c>
      <c r="G203" s="298">
        <f t="shared" si="9"/>
        <v>77.291270833333328</v>
      </c>
      <c r="H203" s="55"/>
      <c r="I203" s="55"/>
      <c r="J203" s="55"/>
      <c r="K203" s="199"/>
      <c r="L203" s="55"/>
      <c r="M203" s="55"/>
      <c r="N203" s="55"/>
      <c r="O203" s="55"/>
      <c r="P203" s="55"/>
      <c r="Q203" s="55"/>
      <c r="R203" s="55"/>
      <c r="S203" s="54"/>
    </row>
    <row r="204" spans="1:28" s="28" customFormat="1">
      <c r="A204" s="55"/>
      <c r="B204" s="677"/>
      <c r="C204" s="55"/>
      <c r="D204" s="298"/>
      <c r="E204" s="55"/>
      <c r="F204" s="238"/>
      <c r="G204" s="299">
        <f>AVERAGE(G202:G203)</f>
        <v>119.42617652777778</v>
      </c>
      <c r="H204" s="55">
        <v>3</v>
      </c>
      <c r="I204" s="55"/>
      <c r="J204" s="55"/>
      <c r="K204" s="199"/>
      <c r="L204" s="55"/>
      <c r="S204" s="181"/>
    </row>
    <row r="205" spans="1:28" s="28" customFormat="1">
      <c r="A205" s="55"/>
      <c r="B205" s="677" t="str">
        <f>B62</f>
        <v>Squash, Summer &amp; Cucumbers &amp; Watermelon</v>
      </c>
      <c r="C205" s="55">
        <v>2015</v>
      </c>
      <c r="D205" s="298">
        <v>87.882999999999996</v>
      </c>
      <c r="E205" s="55">
        <f>5*300</f>
        <v>1500</v>
      </c>
      <c r="F205" s="238">
        <f>'BW1-Bed and Row Spacing'!J33</f>
        <v>2074.2857142857142</v>
      </c>
      <c r="G205" s="298">
        <f t="shared" si="9"/>
        <v>121.52963428571428</v>
      </c>
      <c r="H205" s="55"/>
      <c r="I205" s="55"/>
      <c r="J205" s="55"/>
      <c r="K205" s="199"/>
      <c r="L205" s="55"/>
      <c r="S205" s="181"/>
    </row>
    <row r="206" spans="1:28" s="28" customFormat="1">
      <c r="A206" s="55"/>
      <c r="B206" s="677"/>
      <c r="C206" s="55">
        <v>2015</v>
      </c>
      <c r="D206" s="298">
        <v>191.24861111111107</v>
      </c>
      <c r="E206" s="55">
        <f>5*300</f>
        <v>1500</v>
      </c>
      <c r="F206" s="238">
        <f>'BW1-Bed and Row Spacing'!J33</f>
        <v>2074.2857142857142</v>
      </c>
      <c r="G206" s="298">
        <f t="shared" si="9"/>
        <v>264.46950793650785</v>
      </c>
      <c r="H206" s="55"/>
      <c r="I206" s="55"/>
      <c r="J206" s="55"/>
      <c r="K206" s="199"/>
      <c r="L206" s="55"/>
      <c r="S206" s="181"/>
    </row>
    <row r="207" spans="1:28" s="28" customFormat="1">
      <c r="A207" s="55"/>
      <c r="B207" s="677"/>
      <c r="C207" s="55">
        <v>2014</v>
      </c>
      <c r="D207" s="298">
        <v>193.30848124098122</v>
      </c>
      <c r="E207" s="55">
        <f>5*300</f>
        <v>1500</v>
      </c>
      <c r="F207" s="238">
        <f>'BW1-Bed and Row Spacing'!J33</f>
        <v>2074.2857142857142</v>
      </c>
      <c r="G207" s="298">
        <f t="shared" si="9"/>
        <v>267.31801405895686</v>
      </c>
      <c r="H207" s="55"/>
      <c r="I207" s="55"/>
      <c r="J207" s="55"/>
      <c r="K207" s="199"/>
      <c r="L207" s="55"/>
      <c r="S207" s="181"/>
    </row>
    <row r="208" spans="1:28" s="28" customFormat="1">
      <c r="A208" s="55"/>
      <c r="B208" s="677"/>
      <c r="C208" s="55"/>
      <c r="D208" s="298"/>
      <c r="E208" s="55"/>
      <c r="F208" s="238"/>
      <c r="G208" s="299">
        <f>AVERAGE(G205:G207)</f>
        <v>217.77238542705967</v>
      </c>
      <c r="H208" s="55">
        <v>4</v>
      </c>
      <c r="I208" s="55"/>
      <c r="J208" s="55"/>
      <c r="K208" s="199"/>
      <c r="L208" s="55"/>
      <c r="S208" s="181"/>
    </row>
    <row r="209" spans="1:20" s="28" customFormat="1">
      <c r="A209" s="55"/>
      <c r="B209" s="677" t="str">
        <f>B63</f>
        <v>Squash, Winter</v>
      </c>
      <c r="C209" s="55">
        <v>2014</v>
      </c>
      <c r="D209" s="298">
        <v>240.30085137085135</v>
      </c>
      <c r="E209" s="55">
        <f>8*300</f>
        <v>2400</v>
      </c>
      <c r="F209" s="238">
        <f>'BW1-Bed and Row Spacing'!J34</f>
        <v>2074.2857142857142</v>
      </c>
      <c r="G209" s="298">
        <f t="shared" si="9"/>
        <v>207.68859297052151</v>
      </c>
      <c r="H209" s="55"/>
      <c r="I209" s="55"/>
      <c r="J209" s="55"/>
      <c r="K209" s="270"/>
      <c r="L209" s="55"/>
      <c r="S209" s="181"/>
    </row>
    <row r="210" spans="1:20" s="28" customFormat="1">
      <c r="A210" s="55"/>
      <c r="B210" s="677"/>
      <c r="C210" s="55">
        <v>2015</v>
      </c>
      <c r="D210" s="298">
        <v>114.99111111111111</v>
      </c>
      <c r="E210" s="55">
        <f>8*300</f>
        <v>2400</v>
      </c>
      <c r="F210" s="238">
        <f>'BW1-Bed and Row Spacing'!J34</f>
        <v>2074.2857142857142</v>
      </c>
      <c r="G210" s="298">
        <f t="shared" si="9"/>
        <v>99.385174603174605</v>
      </c>
      <c r="H210" s="55"/>
      <c r="I210" s="55"/>
      <c r="J210" s="55"/>
      <c r="K210" s="779"/>
      <c r="L210" s="55"/>
      <c r="S210" s="181"/>
    </row>
    <row r="211" spans="1:20" s="28" customFormat="1">
      <c r="A211" s="55"/>
      <c r="B211" s="677"/>
      <c r="C211" s="55"/>
      <c r="D211" s="298"/>
      <c r="E211" s="55"/>
      <c r="F211" s="238"/>
      <c r="G211" s="299">
        <f>AVERAGE(G209:G210)</f>
        <v>153.53688378684805</v>
      </c>
      <c r="H211" s="55">
        <v>5</v>
      </c>
      <c r="I211" s="55"/>
      <c r="J211" s="55"/>
      <c r="K211" s="779"/>
      <c r="L211" s="55"/>
      <c r="S211" s="181"/>
    </row>
    <row r="212" spans="1:20" s="28" customFormat="1">
      <c r="A212" s="55"/>
      <c r="B212" s="677" t="str">
        <f>B64</f>
        <v>Tomatoes</v>
      </c>
      <c r="C212" s="55">
        <v>2014</v>
      </c>
      <c r="D212" s="298">
        <v>108.59987179487176</v>
      </c>
      <c r="E212" s="55">
        <f>6*300</f>
        <v>1800</v>
      </c>
      <c r="F212" s="238">
        <f>'BW1-Bed and Row Spacing'!J35</f>
        <v>1815</v>
      </c>
      <c r="G212" s="298">
        <f t="shared" si="9"/>
        <v>109.50487072649568</v>
      </c>
      <c r="H212" s="55"/>
      <c r="I212" s="55"/>
      <c r="J212" s="55"/>
      <c r="K212" s="780"/>
      <c r="L212" s="55"/>
      <c r="S212" s="181"/>
    </row>
    <row r="213" spans="1:20" s="28" customFormat="1">
      <c r="A213" s="55"/>
      <c r="B213" s="677"/>
      <c r="C213" s="55">
        <v>2015</v>
      </c>
      <c r="D213" s="298">
        <v>65.923333333333346</v>
      </c>
      <c r="E213" s="55">
        <f>6*300</f>
        <v>1800</v>
      </c>
      <c r="F213" s="238">
        <f>'BW1-Bed and Row Spacing'!J35</f>
        <v>1815</v>
      </c>
      <c r="G213" s="298">
        <f t="shared" si="9"/>
        <v>66.472694444444457</v>
      </c>
      <c r="H213" s="55"/>
      <c r="I213" s="55"/>
      <c r="J213" s="55"/>
      <c r="K213" s="780"/>
      <c r="L213" s="55"/>
      <c r="S213" s="181"/>
    </row>
    <row r="214" spans="1:20" s="28" customFormat="1" ht="16" thickBot="1">
      <c r="A214" s="55"/>
      <c r="B214" s="678"/>
      <c r="C214" s="142"/>
      <c r="D214" s="286"/>
      <c r="E214" s="142"/>
      <c r="F214" s="273"/>
      <c r="G214" s="313">
        <f>AVERAGE(G212:G213)</f>
        <v>87.988782585470062</v>
      </c>
      <c r="H214" s="142">
        <v>6</v>
      </c>
      <c r="I214" s="142"/>
      <c r="J214" s="142"/>
      <c r="K214" s="315"/>
      <c r="L214" s="282"/>
      <c r="M214" s="55"/>
      <c r="T214" s="181"/>
    </row>
    <row r="215" spans="1:20" s="28" customFormat="1">
      <c r="A215" s="55"/>
      <c r="B215" s="54"/>
      <c r="C215" s="55"/>
      <c r="D215" s="175"/>
      <c r="E215" s="55"/>
      <c r="F215" s="179"/>
      <c r="G215" s="299"/>
      <c r="H215" s="55"/>
      <c r="I215" s="55"/>
      <c r="J215" s="55"/>
      <c r="K215" s="282"/>
      <c r="L215" s="55"/>
      <c r="T215" s="181"/>
    </row>
    <row r="216" spans="1:20" s="28" customFormat="1" ht="20" customHeight="1" thickBot="1">
      <c r="A216" s="55"/>
      <c r="B216" s="54"/>
      <c r="C216" s="55"/>
      <c r="D216" s="175"/>
      <c r="E216" s="55"/>
      <c r="F216" s="179"/>
      <c r="G216" s="299"/>
      <c r="H216" s="55"/>
      <c r="I216" s="55"/>
      <c r="K216" s="282"/>
      <c r="L216" s="55"/>
      <c r="T216" s="181"/>
    </row>
    <row r="217" spans="1:20" s="28" customFormat="1" ht="19" customHeight="1" thickBot="1">
      <c r="A217" s="55"/>
      <c r="B217" s="642" t="s">
        <v>604</v>
      </c>
      <c r="C217" s="646"/>
      <c r="D217" s="646"/>
      <c r="E217" s="646"/>
      <c r="F217" s="646"/>
      <c r="G217" s="646"/>
      <c r="H217" s="646"/>
      <c r="I217" s="646"/>
      <c r="J217" s="646"/>
      <c r="K217" s="647"/>
      <c r="L217" s="1287"/>
      <c r="M217" s="1287"/>
      <c r="N217" s="1287"/>
      <c r="O217" s="1287"/>
      <c r="P217" s="1287"/>
      <c r="Q217" s="1288"/>
      <c r="T217" s="181"/>
    </row>
    <row r="218" spans="1:20" s="28" customFormat="1">
      <c r="A218" s="55"/>
      <c r="B218" s="716" t="s">
        <v>415</v>
      </c>
      <c r="C218" s="717"/>
      <c r="D218" s="717"/>
      <c r="E218" s="717"/>
      <c r="F218" s="717"/>
      <c r="G218" s="717"/>
      <c r="H218" s="717"/>
      <c r="I218" s="717"/>
      <c r="J218" s="717"/>
      <c r="K218" s="718"/>
      <c r="L218" s="55"/>
      <c r="O218" s="292"/>
      <c r="T218" s="181"/>
    </row>
    <row r="219" spans="1:20" s="28" customFormat="1" ht="45">
      <c r="A219" s="55"/>
      <c r="B219" s="685" t="s">
        <v>538</v>
      </c>
      <c r="C219" s="625" t="s">
        <v>544</v>
      </c>
      <c r="D219" s="625" t="s">
        <v>411</v>
      </c>
      <c r="E219" s="659" t="s">
        <v>412</v>
      </c>
      <c r="F219" s="1300" t="s">
        <v>413</v>
      </c>
      <c r="G219" s="1300"/>
      <c r="H219" s="625" t="s">
        <v>540</v>
      </c>
      <c r="I219" s="666" t="s">
        <v>630</v>
      </c>
      <c r="J219" s="429"/>
      <c r="K219" s="434"/>
      <c r="L219" s="55"/>
      <c r="O219" s="292"/>
      <c r="T219" s="181"/>
    </row>
    <row r="220" spans="1:20" s="28" customFormat="1" ht="47" customHeight="1">
      <c r="A220" s="55"/>
      <c r="B220" s="682" t="s">
        <v>414</v>
      </c>
      <c r="C220" s="303">
        <v>400</v>
      </c>
      <c r="D220" s="301">
        <v>7.5</v>
      </c>
      <c r="E220" s="303">
        <f>(400/10)*D220</f>
        <v>300</v>
      </c>
      <c r="F220" s="55"/>
      <c r="G220" s="309">
        <f>(37/11.26)</f>
        <v>3.285968028419183</v>
      </c>
      <c r="H220" s="303">
        <f>E220/G220</f>
        <v>91.297297297297291</v>
      </c>
      <c r="I220" s="1289" t="s">
        <v>643</v>
      </c>
      <c r="J220" s="1289"/>
      <c r="K220" s="1290"/>
      <c r="L220" s="55"/>
      <c r="O220" s="277"/>
      <c r="T220" s="181"/>
    </row>
    <row r="221" spans="1:20" s="28" customFormat="1" ht="17" customHeight="1">
      <c r="A221" s="55"/>
      <c r="B221" s="691" t="s">
        <v>424</v>
      </c>
      <c r="C221" s="689"/>
      <c r="D221" s="689"/>
      <c r="E221" s="689"/>
      <c r="F221" s="689"/>
      <c r="G221" s="689"/>
      <c r="H221" s="689"/>
      <c r="I221" s="689"/>
      <c r="J221" s="689"/>
      <c r="K221" s="690"/>
      <c r="L221" s="55"/>
      <c r="T221" s="181"/>
    </row>
    <row r="222" spans="1:20" s="28" customFormat="1" ht="60">
      <c r="A222" s="55"/>
      <c r="B222" s="685" t="s">
        <v>538</v>
      </c>
      <c r="C222" s="625" t="s">
        <v>268</v>
      </c>
      <c r="D222" s="625" t="s">
        <v>418</v>
      </c>
      <c r="E222" s="625" t="s">
        <v>416</v>
      </c>
      <c r="F222" s="625" t="s">
        <v>417</v>
      </c>
      <c r="G222" s="625" t="s">
        <v>419</v>
      </c>
      <c r="H222" s="625" t="s">
        <v>540</v>
      </c>
      <c r="I222" s="666" t="s">
        <v>630</v>
      </c>
      <c r="J222" s="660"/>
      <c r="K222" s="434"/>
      <c r="L222" s="55"/>
      <c r="T222" s="181"/>
    </row>
    <row r="223" spans="1:20" s="28" customFormat="1" ht="45" customHeight="1">
      <c r="A223" s="55"/>
      <c r="B223" s="682" t="s">
        <v>420</v>
      </c>
      <c r="C223" s="767">
        <v>2014</v>
      </c>
      <c r="D223" s="307">
        <f>77*300</f>
        <v>23100</v>
      </c>
      <c r="E223" s="303">
        <v>202</v>
      </c>
      <c r="F223" s="307">
        <f>E223/(D223)</f>
        <v>8.7445887445887441E-3</v>
      </c>
      <c r="G223" s="1099">
        <f>AVERAGE('BW1-Bed and Row Spacing'!J8,'BW1-Bed and Row Spacing'!J9)</f>
        <v>6701.5384615384619</v>
      </c>
      <c r="H223" s="303">
        <f>F223*G223</f>
        <v>58.6021978021978</v>
      </c>
      <c r="I223" s="1291" t="s">
        <v>644</v>
      </c>
      <c r="J223" s="1291"/>
      <c r="K223" s="1292"/>
      <c r="L223" s="55"/>
      <c r="N223" s="181"/>
    </row>
    <row r="224" spans="1:20" s="28" customFormat="1">
      <c r="A224" s="55"/>
      <c r="B224" s="682"/>
      <c r="C224" s="767">
        <v>2015</v>
      </c>
      <c r="D224" s="307">
        <f>94.5*300</f>
        <v>28350</v>
      </c>
      <c r="E224" s="303">
        <v>283</v>
      </c>
      <c r="F224" s="307">
        <f>E224/(D224)</f>
        <v>9.9823633156966487E-3</v>
      </c>
      <c r="G224" s="1099">
        <f>AVERAGE('BW1-Bed and Row Spacing'!J8,'BW1-Bed and Row Spacing'!J9)</f>
        <v>6701.5384615384619</v>
      </c>
      <c r="H224" s="303">
        <f>F224*G224</f>
        <v>66.897191697191701</v>
      </c>
      <c r="I224" s="608"/>
      <c r="J224" s="608"/>
      <c r="K224" s="609"/>
      <c r="L224" s="55"/>
      <c r="N224" s="181"/>
    </row>
    <row r="225" spans="1:20" s="28" customFormat="1">
      <c r="A225" s="55"/>
      <c r="B225" s="668" t="s">
        <v>421</v>
      </c>
      <c r="C225" s="176"/>
      <c r="D225" s="55"/>
      <c r="E225" s="55"/>
      <c r="F225" s="55"/>
      <c r="G225" s="91"/>
      <c r="H225" s="257">
        <f>AVERAGE(H223,H224)</f>
        <v>62.749694749694754</v>
      </c>
      <c r="I225" s="83" t="s">
        <v>585</v>
      </c>
      <c r="J225" s="55"/>
      <c r="K225" s="199"/>
      <c r="L225" s="55"/>
      <c r="N225" s="181"/>
    </row>
    <row r="226" spans="1:20" s="28" customFormat="1">
      <c r="A226" s="55"/>
      <c r="B226" s="691" t="s">
        <v>427</v>
      </c>
      <c r="C226" s="696"/>
      <c r="D226" s="696"/>
      <c r="E226" s="696"/>
      <c r="F226" s="696"/>
      <c r="G226" s="696"/>
      <c r="H226" s="696"/>
      <c r="I226" s="699"/>
      <c r="J226" s="699"/>
      <c r="K226" s="719"/>
      <c r="L226" s="55"/>
      <c r="N226" s="181"/>
    </row>
    <row r="227" spans="1:20" s="28" customFormat="1" ht="60">
      <c r="A227" s="55"/>
      <c r="B227" s="768" t="s">
        <v>538</v>
      </c>
      <c r="C227" s="607" t="s">
        <v>268</v>
      </c>
      <c r="D227" s="607" t="s">
        <v>422</v>
      </c>
      <c r="E227" s="607" t="s">
        <v>545</v>
      </c>
      <c r="F227" s="607" t="s">
        <v>423</v>
      </c>
      <c r="G227" s="302" t="s">
        <v>546</v>
      </c>
      <c r="H227" s="607" t="s">
        <v>419</v>
      </c>
      <c r="I227" s="607" t="s">
        <v>540</v>
      </c>
      <c r="J227" s="666" t="s">
        <v>630</v>
      </c>
      <c r="K227" s="199"/>
      <c r="L227" s="55"/>
      <c r="N227" s="181"/>
    </row>
    <row r="228" spans="1:20" s="28" customFormat="1" ht="18" customHeight="1">
      <c r="A228" s="55"/>
      <c r="B228" s="769" t="s">
        <v>588</v>
      </c>
      <c r="C228" s="774">
        <v>2014</v>
      </c>
      <c r="D228" s="770">
        <f>8*180</f>
        <v>1440</v>
      </c>
      <c r="E228" s="771">
        <f>D228*0.09</f>
        <v>129.6</v>
      </c>
      <c r="F228" s="770">
        <f>16*300</f>
        <v>4800</v>
      </c>
      <c r="G228" s="771">
        <f>E228/F228</f>
        <v>2.7E-2</v>
      </c>
      <c r="H228" s="1097">
        <f>'BW1-Bed and Row Spacing'!$J$29</f>
        <v>4840</v>
      </c>
      <c r="I228" s="771">
        <f>G228*H228</f>
        <v>130.68</v>
      </c>
      <c r="J228" s="1289" t="s">
        <v>645</v>
      </c>
      <c r="K228" s="1290"/>
      <c r="L228" s="55"/>
      <c r="N228" s="181"/>
    </row>
    <row r="229" spans="1:20" s="28" customFormat="1">
      <c r="A229" s="55"/>
      <c r="B229" s="197" t="s">
        <v>588</v>
      </c>
      <c r="C229" s="775">
        <v>2015</v>
      </c>
      <c r="D229" s="55">
        <f>9*230</f>
        <v>2070</v>
      </c>
      <c r="E229" s="48">
        <f>D229*0.09</f>
        <v>186.29999999999998</v>
      </c>
      <c r="F229" s="55">
        <f>22*300</f>
        <v>6600</v>
      </c>
      <c r="G229" s="48">
        <f>E229/F229</f>
        <v>2.8227272727272726E-2</v>
      </c>
      <c r="H229" s="91">
        <f>'BW1-Bed and Row Spacing'!$J$29</f>
        <v>4840</v>
      </c>
      <c r="I229" s="48">
        <f>G229*H229</f>
        <v>136.62</v>
      </c>
      <c r="J229" s="1291"/>
      <c r="K229" s="1292"/>
      <c r="L229" s="55"/>
      <c r="N229" s="181"/>
    </row>
    <row r="230" spans="1:20" s="28" customFormat="1">
      <c r="A230" s="55"/>
      <c r="B230" s="197" t="s">
        <v>591</v>
      </c>
      <c r="C230" s="775"/>
      <c r="D230" s="55"/>
      <c r="E230" s="48"/>
      <c r="F230" s="55"/>
      <c r="G230" s="48"/>
      <c r="H230" s="91"/>
      <c r="I230" s="257">
        <f>AVERAGE(I228,I229)</f>
        <v>133.65</v>
      </c>
      <c r="J230" s="83"/>
      <c r="K230" s="199"/>
      <c r="L230" s="55"/>
      <c r="N230" s="181"/>
    </row>
    <row r="231" spans="1:20" s="28" customFormat="1" ht="15" customHeight="1">
      <c r="A231" s="55"/>
      <c r="B231" s="197" t="s">
        <v>589</v>
      </c>
      <c r="C231" s="775">
        <v>2014</v>
      </c>
      <c r="D231" s="55">
        <f>6*180</f>
        <v>1080</v>
      </c>
      <c r="E231" s="48">
        <f>D231*0.09</f>
        <v>97.2</v>
      </c>
      <c r="F231" s="55">
        <f>4*300</f>
        <v>1200</v>
      </c>
      <c r="G231" s="48">
        <f>E231/F231</f>
        <v>8.1000000000000003E-2</v>
      </c>
      <c r="H231" s="91">
        <f>'BW1-Bed and Row Spacing'!$J$30</f>
        <v>2074.2857142857142</v>
      </c>
      <c r="I231" s="48">
        <f>G231*H231</f>
        <v>168.01714285714286</v>
      </c>
      <c r="J231" s="83"/>
      <c r="K231" s="199"/>
      <c r="L231" s="55"/>
      <c r="N231" s="181"/>
    </row>
    <row r="232" spans="1:20" s="28" customFormat="1" ht="15" customHeight="1">
      <c r="A232" s="55"/>
      <c r="B232" s="197" t="s">
        <v>589</v>
      </c>
      <c r="C232" s="775">
        <v>2015</v>
      </c>
      <c r="D232" s="55">
        <f>3*230</f>
        <v>690</v>
      </c>
      <c r="E232" s="48">
        <f>D232*0.09</f>
        <v>62.099999999999994</v>
      </c>
      <c r="F232" s="55">
        <f>4*300</f>
        <v>1200</v>
      </c>
      <c r="G232" s="48">
        <f>E232/F232</f>
        <v>5.1749999999999997E-2</v>
      </c>
      <c r="H232" s="91">
        <f>'BW1-Bed and Row Spacing'!$J$30</f>
        <v>2074.2857142857142</v>
      </c>
      <c r="I232" s="48">
        <f>G232*H232</f>
        <v>107.3442857142857</v>
      </c>
      <c r="J232" s="83"/>
      <c r="K232" s="199"/>
      <c r="L232" s="55"/>
      <c r="N232" s="181"/>
    </row>
    <row r="233" spans="1:20" s="28" customFormat="1" ht="17" customHeight="1">
      <c r="A233" s="55"/>
      <c r="B233" s="428" t="s">
        <v>590</v>
      </c>
      <c r="C233" s="776"/>
      <c r="D233" s="429"/>
      <c r="E233" s="429"/>
      <c r="F233" s="429"/>
      <c r="G233" s="772"/>
      <c r="H233" s="1098"/>
      <c r="I233" s="617">
        <f>AVERAGE(I231,I232)</f>
        <v>137.68071428571429</v>
      </c>
      <c r="J233" s="429"/>
      <c r="K233" s="773"/>
      <c r="L233" s="55"/>
      <c r="N233" s="181"/>
    </row>
    <row r="234" spans="1:20" s="28" customFormat="1" ht="17" customHeight="1">
      <c r="A234" s="55"/>
      <c r="B234" s="197" t="s">
        <v>592</v>
      </c>
      <c r="C234" s="777"/>
      <c r="D234" s="55"/>
      <c r="E234" s="55"/>
      <c r="F234" s="55"/>
      <c r="G234" s="179"/>
      <c r="H234" s="55"/>
      <c r="I234" s="257">
        <f>AVERAGE(I230,I233)</f>
        <v>135.66535714285715</v>
      </c>
      <c r="J234" s="55"/>
      <c r="K234" s="293"/>
      <c r="L234" s="55"/>
      <c r="N234" s="181"/>
    </row>
    <row r="235" spans="1:20" s="28" customFormat="1">
      <c r="A235" s="55"/>
      <c r="B235" s="720" t="s">
        <v>425</v>
      </c>
      <c r="C235" s="696"/>
      <c r="D235" s="696"/>
      <c r="E235" s="705"/>
      <c r="F235" s="696"/>
      <c r="G235" s="696"/>
      <c r="H235" s="696"/>
      <c r="I235" s="696"/>
      <c r="J235" s="696"/>
      <c r="K235" s="701"/>
      <c r="L235" s="55"/>
      <c r="N235" s="181"/>
    </row>
    <row r="236" spans="1:20" s="28" customFormat="1" ht="30">
      <c r="A236" s="55"/>
      <c r="B236" s="685" t="s">
        <v>538</v>
      </c>
      <c r="C236" s="625" t="s">
        <v>541</v>
      </c>
      <c r="D236" s="625" t="s">
        <v>542</v>
      </c>
      <c r="E236" s="1300" t="s">
        <v>543</v>
      </c>
      <c r="F236" s="1300"/>
      <c r="G236" s="625" t="s">
        <v>540</v>
      </c>
      <c r="H236" s="666" t="s">
        <v>630</v>
      </c>
      <c r="I236" s="429"/>
      <c r="J236" s="650"/>
      <c r="K236" s="651"/>
      <c r="L236" s="55"/>
      <c r="N236" s="181"/>
    </row>
    <row r="237" spans="1:20" s="28" customFormat="1" ht="31" customHeight="1">
      <c r="A237" s="55"/>
      <c r="B237" s="682" t="s">
        <v>271</v>
      </c>
      <c r="C237" s="304">
        <v>27</v>
      </c>
      <c r="D237" s="304">
        <f>C237/3000</f>
        <v>8.9999999999999993E-3</v>
      </c>
      <c r="E237" s="307"/>
      <c r="F237" s="310">
        <f>(6453.33*1.5)</f>
        <v>9679.994999999999</v>
      </c>
      <c r="G237" s="305">
        <f>D237*F237</f>
        <v>87.11995499999999</v>
      </c>
      <c r="H237" s="1291" t="s">
        <v>646</v>
      </c>
      <c r="I237" s="1291"/>
      <c r="J237" s="1291"/>
      <c r="K237" s="1292"/>
      <c r="L237" s="55"/>
      <c r="N237" s="181"/>
    </row>
    <row r="238" spans="1:20" s="28" customFormat="1">
      <c r="A238" s="55"/>
      <c r="B238" s="691" t="s">
        <v>426</v>
      </c>
      <c r="C238" s="696"/>
      <c r="D238" s="696"/>
      <c r="E238" s="696"/>
      <c r="F238" s="696"/>
      <c r="G238" s="696"/>
      <c r="H238" s="696"/>
      <c r="I238" s="699"/>
      <c r="J238" s="699"/>
      <c r="K238" s="721"/>
      <c r="L238" s="55"/>
      <c r="N238" s="181"/>
    </row>
    <row r="239" spans="1:20" s="28" customFormat="1" ht="45">
      <c r="A239" s="55"/>
      <c r="B239" s="685" t="s">
        <v>538</v>
      </c>
      <c r="C239" s="625" t="s">
        <v>539</v>
      </c>
      <c r="D239" s="625" t="s">
        <v>270</v>
      </c>
      <c r="E239" s="625" t="s">
        <v>540</v>
      </c>
      <c r="F239" s="666" t="s">
        <v>630</v>
      </c>
      <c r="G239" s="429"/>
      <c r="H239" s="660"/>
      <c r="I239" s="667"/>
      <c r="J239" s="429"/>
      <c r="K239" s="434"/>
      <c r="L239" s="55"/>
      <c r="N239" s="181"/>
    </row>
    <row r="240" spans="1:20" s="28" customFormat="1" ht="32" customHeight="1" thickBot="1">
      <c r="A240" s="55"/>
      <c r="B240" s="797" t="s">
        <v>269</v>
      </c>
      <c r="C240" s="798">
        <v>1.35</v>
      </c>
      <c r="D240" s="799">
        <v>80</v>
      </c>
      <c r="E240" s="800">
        <f>C240*D240</f>
        <v>108</v>
      </c>
      <c r="F240" s="1293" t="s">
        <v>647</v>
      </c>
      <c r="G240" s="1293"/>
      <c r="H240" s="1293"/>
      <c r="I240" s="1293"/>
      <c r="J240" s="1293"/>
      <c r="K240" s="1294"/>
      <c r="L240" s="282"/>
      <c r="M240" s="55"/>
      <c r="T240" s="181"/>
    </row>
    <row r="241" spans="1:13">
      <c r="A241" s="22"/>
      <c r="B241" s="55"/>
      <c r="C241" s="55"/>
      <c r="D241" s="55"/>
      <c r="E241" s="55"/>
      <c r="F241" s="55"/>
      <c r="G241" s="55"/>
      <c r="H241" s="55"/>
      <c r="I241" s="55"/>
      <c r="J241" s="55"/>
      <c r="K241" s="22"/>
      <c r="L241" s="177"/>
      <c r="M241" s="22"/>
    </row>
    <row r="242" spans="1:13">
      <c r="A242" s="22"/>
      <c r="B242" s="55"/>
      <c r="C242" s="55"/>
      <c r="D242" s="55"/>
      <c r="E242" s="55"/>
      <c r="F242" s="55"/>
      <c r="G242" s="55"/>
      <c r="H242" s="55"/>
      <c r="I242" s="55"/>
      <c r="J242" s="55"/>
      <c r="K242" s="22"/>
      <c r="L242" s="22"/>
    </row>
    <row r="243" spans="1:13">
      <c r="A243" s="22"/>
      <c r="B243" s="22"/>
      <c r="C243" s="54"/>
      <c r="D243" s="54"/>
      <c r="E243" s="54"/>
      <c r="F243" s="54"/>
      <c r="G243" s="54"/>
      <c r="H243" s="54"/>
      <c r="I243" s="174"/>
      <c r="J243" s="174"/>
      <c r="K243" s="22"/>
      <c r="L243" s="55"/>
    </row>
    <row r="244" spans="1:13">
      <c r="A244" s="22"/>
      <c r="B244" s="55"/>
      <c r="C244" s="55"/>
      <c r="D244" s="22"/>
      <c r="E244" s="22"/>
      <c r="F244" s="22"/>
      <c r="G244" s="22"/>
      <c r="H244" s="22"/>
      <c r="I244" s="22"/>
      <c r="J244" s="22"/>
      <c r="K244" s="22"/>
      <c r="L244" s="22"/>
    </row>
    <row r="245" spans="1:13">
      <c r="B245" s="22"/>
      <c r="C245" s="22"/>
      <c r="D245" s="22"/>
      <c r="E245" s="22"/>
      <c r="F245" s="22"/>
      <c r="G245" s="22"/>
      <c r="H245" s="22"/>
      <c r="I245" s="22"/>
      <c r="J245" s="22"/>
    </row>
    <row r="246" spans="1:13">
      <c r="B246" s="22"/>
      <c r="C246" s="22"/>
      <c r="D246" s="22"/>
      <c r="E246" s="22"/>
      <c r="F246" s="22"/>
      <c r="G246" s="22"/>
      <c r="H246" s="22"/>
      <c r="I246" s="22"/>
      <c r="J246" s="22"/>
    </row>
    <row r="247" spans="1:13">
      <c r="B247" s="22"/>
      <c r="C247" s="22"/>
      <c r="D247" s="22"/>
      <c r="E247" s="22"/>
      <c r="F247" s="22"/>
      <c r="G247" s="22"/>
      <c r="H247" s="22"/>
      <c r="I247" s="22"/>
      <c r="J247" s="22"/>
    </row>
    <row r="248" spans="1:13">
      <c r="H248" s="25"/>
    </row>
    <row r="262" spans="3:6">
      <c r="C262" s="153"/>
      <c r="D262" s="153"/>
      <c r="E262" s="153"/>
      <c r="F262" s="153"/>
    </row>
    <row r="263" spans="3:6">
      <c r="C263" s="153"/>
      <c r="D263" s="153"/>
      <c r="E263" s="153"/>
      <c r="F263" s="153"/>
    </row>
    <row r="264" spans="3:6">
      <c r="C264" s="153"/>
      <c r="D264" s="153"/>
      <c r="E264" s="153"/>
      <c r="F264" s="153"/>
    </row>
  </sheetData>
  <sheetProtection sheet="1" objects="1" scenarios="1"/>
  <mergeCells count="44">
    <mergeCell ref="H2:I2"/>
    <mergeCell ref="B4:I4"/>
    <mergeCell ref="D30:I30"/>
    <mergeCell ref="D7:I7"/>
    <mergeCell ref="B147:E147"/>
    <mergeCell ref="D39:I39"/>
    <mergeCell ref="H95:I95"/>
    <mergeCell ref="G116:L116"/>
    <mergeCell ref="G123:K123"/>
    <mergeCell ref="G124:K125"/>
    <mergeCell ref="G113:L113"/>
    <mergeCell ref="G110:L110"/>
    <mergeCell ref="B181:B182"/>
    <mergeCell ref="I177:K180"/>
    <mergeCell ref="I161:K163"/>
    <mergeCell ref="G118:I118"/>
    <mergeCell ref="D52:I52"/>
    <mergeCell ref="D68:I68"/>
    <mergeCell ref="D69:I69"/>
    <mergeCell ref="D67:I67"/>
    <mergeCell ref="G106:I106"/>
    <mergeCell ref="D70:I70"/>
    <mergeCell ref="D66:I66"/>
    <mergeCell ref="D71:I71"/>
    <mergeCell ref="H100:K100"/>
    <mergeCell ref="H101:K101"/>
    <mergeCell ref="J80:K80"/>
    <mergeCell ref="H87:I87"/>
    <mergeCell ref="L217:Q217"/>
    <mergeCell ref="J228:K229"/>
    <mergeCell ref="F240:K240"/>
    <mergeCell ref="J81:K85"/>
    <mergeCell ref="H88:K88"/>
    <mergeCell ref="H90:K90"/>
    <mergeCell ref="H89:K89"/>
    <mergeCell ref="H98:K98"/>
    <mergeCell ref="E236:F236"/>
    <mergeCell ref="I223:K223"/>
    <mergeCell ref="I220:K220"/>
    <mergeCell ref="H129:J129"/>
    <mergeCell ref="G122:I122"/>
    <mergeCell ref="H237:K237"/>
    <mergeCell ref="F219:G219"/>
    <mergeCell ref="G108:L108"/>
  </mergeCells>
  <phoneticPr fontId="15" type="noConversion"/>
  <hyperlinks>
    <hyperlink ref="H2" location="'Workbook Index'!A1" display="Back to Workbook Index"/>
    <hyperlink ref="I2" location="'Workbook Index'!A1" display="'Workbook Index'!A1"/>
  </hyperlinks>
  <pageMargins left="0.75" right="0.75" top="1" bottom="1" header="0.5" footer="0.5"/>
  <pageSetup scale="74" orientation="landscape" horizontalDpi="4294967292" verticalDpi="4294967292"/>
  <legacy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F147"/>
  <sheetViews>
    <sheetView showGridLines="0" workbookViewId="0">
      <selection activeCell="F27" sqref="F27"/>
    </sheetView>
  </sheetViews>
  <sheetFormatPr baseColWidth="10" defaultColWidth="8.7109375" defaultRowHeight="15" x14ac:dyDescent="0"/>
  <cols>
    <col min="1" max="1" width="2.85546875" style="5" customWidth="1"/>
    <col min="2" max="2" width="39.28515625" style="5" customWidth="1"/>
    <col min="3" max="3" width="17.5703125" style="5" customWidth="1"/>
    <col min="4" max="4" width="13.42578125" style="5" customWidth="1"/>
    <col min="5" max="5" width="12.85546875" style="5" customWidth="1"/>
    <col min="6" max="6" width="12.7109375" style="5" customWidth="1"/>
    <col min="7" max="7" width="12" style="5" customWidth="1"/>
    <col min="8" max="8" width="17.42578125" style="5" customWidth="1"/>
    <col min="9" max="9" width="13.5703125" style="5" customWidth="1"/>
    <col min="10" max="10" width="16.42578125" style="5" customWidth="1"/>
    <col min="11" max="11" width="11.7109375" style="5" customWidth="1"/>
    <col min="12" max="12" width="10.5703125" style="5" customWidth="1"/>
    <col min="13" max="13" width="9" style="5" customWidth="1"/>
    <col min="14" max="14" width="12.85546875" style="5" customWidth="1"/>
    <col min="15" max="15" width="9" style="5" customWidth="1"/>
    <col min="16" max="16" width="24.28515625" style="5" customWidth="1"/>
    <col min="17" max="17" width="9" style="5" customWidth="1"/>
    <col min="18" max="19" width="8.7109375" style="5"/>
    <col min="20" max="20" width="13.85546875" style="5" customWidth="1"/>
    <col min="21" max="21" width="8.7109375" style="5"/>
    <col min="22" max="22" width="11.42578125" style="5" customWidth="1"/>
    <col min="23" max="16384" width="8.7109375" style="5"/>
  </cols>
  <sheetData>
    <row r="1" spans="2:22" ht="16" thickBot="1"/>
    <row r="2" spans="2:22" ht="19" thickBot="1">
      <c r="B2" s="42" t="s">
        <v>627</v>
      </c>
      <c r="E2" s="22"/>
      <c r="F2" s="22"/>
      <c r="H2" s="563"/>
      <c r="I2" s="1263" t="s">
        <v>512</v>
      </c>
      <c r="J2" s="1264"/>
      <c r="K2" s="564"/>
    </row>
    <row r="3" spans="2:22" s="28" customFormat="1" ht="18">
      <c r="B3" s="565"/>
      <c r="D3" s="567"/>
      <c r="E3" s="571"/>
      <c r="F3" s="571"/>
      <c r="G3" s="569"/>
    </row>
    <row r="4" spans="2:22" s="28" customFormat="1" ht="77" customHeight="1">
      <c r="B4" s="1325" t="s">
        <v>909</v>
      </c>
      <c r="C4" s="1325"/>
      <c r="D4" s="1325"/>
      <c r="E4" s="1325"/>
      <c r="F4" s="1325"/>
      <c r="G4" s="569"/>
    </row>
    <row r="5" spans="2:22" s="28" customFormat="1" ht="18">
      <c r="B5" s="565"/>
      <c r="D5" s="567"/>
      <c r="E5" s="1034"/>
      <c r="F5" s="1034"/>
      <c r="G5" s="569"/>
    </row>
    <row r="6" spans="2:22" s="253" customFormat="1" ht="25" customHeight="1">
      <c r="B6" s="1213" t="s">
        <v>534</v>
      </c>
      <c r="C6" s="1213"/>
      <c r="D6" s="1213"/>
      <c r="E6" s="1213"/>
      <c r="F6" s="1213"/>
    </row>
    <row r="7" spans="2:22" ht="61" customHeight="1" thickBot="1">
      <c r="B7" s="1193" t="s">
        <v>131</v>
      </c>
      <c r="C7" s="1184"/>
      <c r="D7" s="1184" t="s">
        <v>866</v>
      </c>
      <c r="E7" s="1221" t="s">
        <v>867</v>
      </c>
      <c r="F7" s="1184" t="s">
        <v>868</v>
      </c>
    </row>
    <row r="8" spans="2:22">
      <c r="B8" s="1199" t="s">
        <v>6</v>
      </c>
      <c r="C8" s="1235"/>
      <c r="D8" s="1201">
        <f>H35</f>
        <v>402.28210609795678</v>
      </c>
      <c r="E8" s="1201">
        <f t="shared" ref="E8:E26" si="0">J35</f>
        <v>234.94769411836958</v>
      </c>
      <c r="F8" s="1201">
        <f>L35</f>
        <v>48.583664703296712</v>
      </c>
    </row>
    <row r="9" spans="2:22">
      <c r="B9" s="22" t="s">
        <v>106</v>
      </c>
      <c r="C9" s="47"/>
      <c r="D9" s="58">
        <f t="shared" ref="D9:D26" si="1">H36</f>
        <v>234.6645618904748</v>
      </c>
      <c r="E9" s="257">
        <f t="shared" si="0"/>
        <v>137.05282156904892</v>
      </c>
      <c r="F9" s="58">
        <f t="shared" ref="F9:F26" si="2">L36</f>
        <v>113.32134000000002</v>
      </c>
      <c r="R9" s="28"/>
      <c r="S9" s="28"/>
      <c r="T9" s="28"/>
      <c r="U9" s="28"/>
      <c r="V9" s="28"/>
    </row>
    <row r="10" spans="2:22">
      <c r="B10" s="1199" t="s">
        <v>7</v>
      </c>
      <c r="C10" s="1235"/>
      <c r="D10" s="1201">
        <f t="shared" si="1"/>
        <v>351.99684283571219</v>
      </c>
      <c r="E10" s="1201">
        <f t="shared" si="0"/>
        <v>205.57923235357339</v>
      </c>
      <c r="F10" s="1201">
        <f t="shared" si="2"/>
        <v>121.75455600000001</v>
      </c>
      <c r="R10" s="28"/>
      <c r="S10" s="28"/>
      <c r="T10" s="28"/>
      <c r="U10" s="28"/>
      <c r="V10" s="28"/>
    </row>
    <row r="11" spans="2:22">
      <c r="B11" s="22" t="s">
        <v>108</v>
      </c>
      <c r="C11" s="47"/>
      <c r="D11" s="58">
        <f t="shared" si="1"/>
        <v>312.88608252063312</v>
      </c>
      <c r="E11" s="257">
        <f t="shared" si="0"/>
        <v>182.73709542539859</v>
      </c>
      <c r="F11" s="58">
        <f t="shared" si="2"/>
        <v>184.23333415384622</v>
      </c>
    </row>
    <row r="12" spans="2:22">
      <c r="B12" s="1199" t="s">
        <v>111</v>
      </c>
      <c r="C12" s="1235"/>
      <c r="D12" s="1201">
        <f t="shared" si="1"/>
        <v>516.51035844675937</v>
      </c>
      <c r="E12" s="1201">
        <f t="shared" si="0"/>
        <v>329.06529976974377</v>
      </c>
      <c r="F12" s="1201">
        <f t="shared" si="2"/>
        <v>61.11571714285715</v>
      </c>
    </row>
    <row r="13" spans="2:22">
      <c r="B13" s="22" t="s">
        <v>112</v>
      </c>
      <c r="C13" s="47"/>
      <c r="D13" s="58">
        <f t="shared" si="1"/>
        <v>673.94517869460344</v>
      </c>
      <c r="E13" s="257">
        <f t="shared" si="0"/>
        <v>348.18965593063365</v>
      </c>
      <c r="F13" s="58">
        <f t="shared" si="2"/>
        <v>116.37503428571432</v>
      </c>
    </row>
    <row r="14" spans="2:22" ht="15" customHeight="1">
      <c r="B14" s="1199" t="s">
        <v>123</v>
      </c>
      <c r="C14" s="1235"/>
      <c r="D14" s="1201">
        <f t="shared" si="1"/>
        <v>469.3291237809496</v>
      </c>
      <c r="E14" s="1201">
        <f t="shared" si="0"/>
        <v>274.10564313809783</v>
      </c>
      <c r="F14" s="1201">
        <f t="shared" si="2"/>
        <v>110.11833969230773</v>
      </c>
    </row>
    <row r="15" spans="2:22">
      <c r="B15" s="22" t="s">
        <v>113</v>
      </c>
      <c r="C15" s="47"/>
      <c r="D15" s="58">
        <f t="shared" si="1"/>
        <v>625.77216504126625</v>
      </c>
      <c r="E15" s="257">
        <f t="shared" si="0"/>
        <v>365.47419085079719</v>
      </c>
      <c r="F15" s="58">
        <f t="shared" si="2"/>
        <v>115.14583384615389</v>
      </c>
      <c r="H15" s="45"/>
    </row>
    <row r="16" spans="2:22">
      <c r="B16" s="1199" t="s">
        <v>114</v>
      </c>
      <c r="C16" s="1235"/>
      <c r="D16" s="1201">
        <f t="shared" si="1"/>
        <v>494.43726620544493</v>
      </c>
      <c r="E16" s="1201">
        <f t="shared" si="0"/>
        <v>279.58819889560959</v>
      </c>
      <c r="F16" s="1201">
        <f t="shared" si="2"/>
        <v>180.55731692307697</v>
      </c>
    </row>
    <row r="17" spans="1:32">
      <c r="B17" s="22" t="s">
        <v>115</v>
      </c>
      <c r="C17" s="47"/>
      <c r="D17" s="58">
        <f t="shared" si="1"/>
        <v>469.3291237809496</v>
      </c>
      <c r="E17" s="257">
        <f t="shared" si="0"/>
        <v>274.10564313809783</v>
      </c>
      <c r="F17" s="58">
        <f t="shared" si="2"/>
        <v>29.705462769230778</v>
      </c>
    </row>
    <row r="18" spans="1:32">
      <c r="B18" s="1199" t="s">
        <v>116</v>
      </c>
      <c r="C18" s="1235"/>
      <c r="D18" s="1201">
        <f t="shared" si="1"/>
        <v>206.60414337870378</v>
      </c>
      <c r="E18" s="1201">
        <f t="shared" si="0"/>
        <v>131.62611990789753</v>
      </c>
      <c r="F18" s="1201">
        <f t="shared" si="2"/>
        <v>100.06914342857146</v>
      </c>
    </row>
    <row r="19" spans="1:32">
      <c r="B19" s="22" t="s">
        <v>117</v>
      </c>
      <c r="C19" s="47"/>
      <c r="D19" s="58">
        <f t="shared" si="1"/>
        <v>494.43726620544493</v>
      </c>
      <c r="E19" s="257">
        <f t="shared" si="0"/>
        <v>279.58819889560959</v>
      </c>
      <c r="F19" s="58">
        <f t="shared" si="2"/>
        <v>61.357052307692335</v>
      </c>
      <c r="X19" s="28"/>
      <c r="Y19" s="28"/>
      <c r="Z19" s="28"/>
      <c r="AA19" s="28"/>
      <c r="AB19" s="28"/>
      <c r="AC19" s="28"/>
      <c r="AD19" s="28"/>
      <c r="AE19" s="28"/>
    </row>
    <row r="20" spans="1:32">
      <c r="B20" s="1199" t="s">
        <v>118</v>
      </c>
      <c r="C20" s="1235"/>
      <c r="D20" s="1201">
        <f t="shared" si="1"/>
        <v>808.73421443352402</v>
      </c>
      <c r="E20" s="1201">
        <f t="shared" si="0"/>
        <v>417.82758711676041</v>
      </c>
      <c r="F20" s="1201">
        <f t="shared" si="2"/>
        <v>280.30403657142864</v>
      </c>
      <c r="X20" s="28"/>
      <c r="Y20" s="28"/>
      <c r="Z20" s="28"/>
      <c r="AA20" s="28"/>
      <c r="AB20" s="28"/>
      <c r="AC20" s="28"/>
      <c r="AD20" s="28"/>
      <c r="AE20" s="28"/>
    </row>
    <row r="21" spans="1:32">
      <c r="B21" s="22" t="s">
        <v>204</v>
      </c>
      <c r="C21" s="47"/>
      <c r="D21" s="58">
        <f t="shared" si="1"/>
        <v>494.43726620544493</v>
      </c>
      <c r="E21" s="257">
        <f t="shared" si="0"/>
        <v>279.58819889560959</v>
      </c>
      <c r="F21" s="58">
        <f t="shared" si="2"/>
        <v>51.35612307692309</v>
      </c>
      <c r="X21" s="28"/>
      <c r="Y21" s="28"/>
      <c r="Z21" s="28"/>
      <c r="AA21" s="28"/>
      <c r="AB21" s="28"/>
      <c r="AC21" s="28"/>
      <c r="AD21" s="28"/>
      <c r="AE21" s="28"/>
    </row>
    <row r="22" spans="1:32">
      <c r="B22" s="1199" t="s">
        <v>119</v>
      </c>
      <c r="C22" s="1235"/>
      <c r="D22" s="1201">
        <f t="shared" si="1"/>
        <v>206.60414337870378</v>
      </c>
      <c r="E22" s="1201">
        <f t="shared" si="0"/>
        <v>131.62611990789753</v>
      </c>
      <c r="F22" s="1201">
        <f t="shared" si="2"/>
        <v>107.09682342857145</v>
      </c>
      <c r="X22" s="28"/>
      <c r="Y22" s="28"/>
      <c r="Z22" s="28"/>
      <c r="AA22" s="28"/>
      <c r="AB22" s="28"/>
      <c r="AC22" s="28"/>
      <c r="AD22" s="28"/>
      <c r="AE22" s="28"/>
    </row>
    <row r="23" spans="1:32">
      <c r="B23" s="22" t="s">
        <v>120</v>
      </c>
      <c r="C23" s="47"/>
      <c r="D23" s="58">
        <f t="shared" si="1"/>
        <v>206.60414337870378</v>
      </c>
      <c r="E23" s="257">
        <f t="shared" si="0"/>
        <v>131.62611990789753</v>
      </c>
      <c r="F23" s="58">
        <f t="shared" si="2"/>
        <v>80.195868342857153</v>
      </c>
      <c r="X23" s="28"/>
      <c r="Y23" s="28"/>
      <c r="Z23" s="28"/>
      <c r="AA23" s="28"/>
      <c r="AB23" s="28"/>
      <c r="AC23" s="28"/>
      <c r="AD23" s="28"/>
      <c r="AE23" s="28"/>
    </row>
    <row r="24" spans="1:32" s="31" customFormat="1">
      <c r="A24" s="5"/>
      <c r="B24" s="1199" t="s">
        <v>126</v>
      </c>
      <c r="C24" s="1235"/>
      <c r="D24" s="1201">
        <f t="shared" si="1"/>
        <v>294.85101567888893</v>
      </c>
      <c r="E24" s="1201">
        <f t="shared" si="0"/>
        <v>152.33297446965221</v>
      </c>
      <c r="F24" s="1201">
        <f t="shared" si="2"/>
        <v>77.377685000000014</v>
      </c>
      <c r="H24" s="5"/>
      <c r="P24" s="33"/>
      <c r="X24" s="37"/>
      <c r="Y24" s="37"/>
      <c r="Z24" s="37"/>
      <c r="AA24" s="41"/>
      <c r="AB24" s="37"/>
      <c r="AC24" s="37"/>
      <c r="AD24" s="41"/>
      <c r="AE24" s="41"/>
    </row>
    <row r="25" spans="1:32" s="31" customFormat="1">
      <c r="A25" s="5"/>
      <c r="B25" s="22" t="s">
        <v>121</v>
      </c>
      <c r="C25" s="47"/>
      <c r="D25" s="58">
        <f t="shared" si="1"/>
        <v>129.12758961168984</v>
      </c>
      <c r="E25" s="257">
        <f t="shared" si="0"/>
        <v>82.266324942435944</v>
      </c>
      <c r="F25" s="58">
        <f t="shared" si="2"/>
        <v>22.714465714285719</v>
      </c>
      <c r="H25" s="5"/>
      <c r="P25" s="33"/>
      <c r="X25" s="37"/>
      <c r="Y25" s="37"/>
      <c r="Z25" s="37"/>
      <c r="AA25" s="41"/>
      <c r="AB25" s="37"/>
      <c r="AC25" s="37"/>
      <c r="AD25" s="41"/>
      <c r="AE25" s="41"/>
    </row>
    <row r="26" spans="1:32" s="31" customFormat="1">
      <c r="A26" s="5"/>
      <c r="B26" s="1199" t="s">
        <v>462</v>
      </c>
      <c r="C26" s="1235"/>
      <c r="D26" s="1201">
        <f t="shared" si="1"/>
        <v>516.51035844675937</v>
      </c>
      <c r="E26" s="1201">
        <f t="shared" si="0"/>
        <v>329.06529976974377</v>
      </c>
      <c r="F26" s="1201">
        <f t="shared" si="2"/>
        <v>91.965879276895976</v>
      </c>
      <c r="H26" s="5"/>
      <c r="P26" s="33"/>
      <c r="X26" s="37"/>
      <c r="Y26" s="37"/>
      <c r="Z26" s="37"/>
      <c r="AA26" s="41"/>
      <c r="AB26" s="37"/>
      <c r="AC26" s="37"/>
      <c r="AD26" s="41"/>
      <c r="AE26" s="41"/>
    </row>
    <row r="27" spans="1:32" s="31" customFormat="1">
      <c r="A27" s="5"/>
      <c r="B27" s="22"/>
      <c r="C27" s="47"/>
      <c r="D27" s="58"/>
      <c r="E27" s="47"/>
      <c r="F27" s="257"/>
      <c r="I27" s="5"/>
      <c r="Q27" s="33"/>
      <c r="Y27" s="37"/>
      <c r="Z27" s="37"/>
      <c r="AA27" s="37"/>
      <c r="AB27" s="41"/>
      <c r="AC27" s="37"/>
      <c r="AD27" s="37"/>
      <c r="AE27" s="41"/>
      <c r="AF27" s="41"/>
    </row>
    <row r="28" spans="1:32" s="31" customFormat="1">
      <c r="A28" s="5"/>
      <c r="B28" s="22"/>
      <c r="C28" s="47"/>
      <c r="D28" s="58"/>
      <c r="E28" s="47"/>
      <c r="F28" s="257"/>
      <c r="I28" s="5"/>
      <c r="Q28" s="33"/>
      <c r="Y28" s="37"/>
      <c r="Z28" s="37"/>
      <c r="AA28" s="37"/>
      <c r="AB28" s="41"/>
      <c r="AC28" s="37"/>
      <c r="AD28" s="37"/>
      <c r="AE28" s="41"/>
      <c r="AF28" s="41"/>
    </row>
    <row r="29" spans="1:32" s="31" customFormat="1">
      <c r="A29" s="5"/>
      <c r="B29" s="22"/>
      <c r="C29" s="47"/>
      <c r="D29" s="58"/>
      <c r="E29" s="47"/>
      <c r="F29" s="257"/>
      <c r="I29" s="5"/>
      <c r="Q29" s="33"/>
      <c r="Y29" s="37"/>
      <c r="Z29" s="37"/>
      <c r="AA29" s="37"/>
      <c r="AB29" s="41"/>
      <c r="AC29" s="37"/>
      <c r="AD29" s="37"/>
      <c r="AE29" s="41"/>
      <c r="AF29" s="41"/>
    </row>
    <row r="30" spans="1:32" s="31" customFormat="1">
      <c r="A30" s="5"/>
      <c r="B30" s="22"/>
      <c r="C30" s="47"/>
      <c r="D30" s="58"/>
      <c r="E30" s="47"/>
      <c r="F30" s="257"/>
      <c r="I30" s="5"/>
      <c r="Q30" s="33"/>
      <c r="Y30" s="37"/>
      <c r="Z30" s="37"/>
      <c r="AA30" s="37"/>
      <c r="AB30" s="41"/>
      <c r="AC30" s="37"/>
      <c r="AD30" s="37"/>
      <c r="AE30" s="41"/>
      <c r="AF30" s="41"/>
    </row>
    <row r="31" spans="1:32" s="31" customFormat="1">
      <c r="A31" s="5"/>
      <c r="B31" s="22"/>
      <c r="C31" s="64"/>
      <c r="D31" s="60"/>
      <c r="E31" s="60"/>
      <c r="F31" s="257"/>
      <c r="G31" s="5"/>
      <c r="O31" s="33"/>
      <c r="W31" s="37"/>
      <c r="X31" s="37"/>
      <c r="Y31" s="37"/>
      <c r="Z31" s="41"/>
      <c r="AA31" s="37"/>
      <c r="AB31" s="37"/>
      <c r="AC31" s="41"/>
      <c r="AD31" s="41"/>
    </row>
    <row r="32" spans="1:32" s="31" customFormat="1" ht="16" thickBot="1">
      <c r="A32" s="5"/>
      <c r="B32" s="2"/>
      <c r="C32" s="49"/>
      <c r="D32" s="49"/>
      <c r="E32" s="49"/>
      <c r="F32" s="49"/>
      <c r="G32" s="5"/>
      <c r="H32" s="5"/>
      <c r="I32" s="5"/>
      <c r="J32" s="5"/>
      <c r="K32" s="5"/>
      <c r="L32" s="5"/>
      <c r="M32" s="5"/>
      <c r="N32" s="33"/>
      <c r="O32" s="33"/>
      <c r="Q32" s="137"/>
      <c r="R32" s="37"/>
      <c r="S32" s="41"/>
      <c r="T32" s="37"/>
      <c r="U32" s="37"/>
      <c r="V32" s="37"/>
      <c r="W32" s="37"/>
      <c r="X32" s="37"/>
      <c r="Y32" s="37"/>
      <c r="Z32" s="41"/>
      <c r="AA32" s="37"/>
      <c r="AB32" s="37"/>
      <c r="AC32" s="41"/>
      <c r="AD32" s="41"/>
    </row>
    <row r="33" spans="2:12" s="28" customFormat="1" ht="16" thickBot="1">
      <c r="B33" s="789" t="s">
        <v>608</v>
      </c>
      <c r="C33" s="790"/>
      <c r="D33" s="790"/>
      <c r="E33" s="790"/>
      <c r="F33" s="790"/>
      <c r="G33" s="790"/>
      <c r="H33" s="790"/>
      <c r="I33" s="790"/>
      <c r="J33" s="790"/>
      <c r="K33" s="790"/>
      <c r="L33" s="791"/>
    </row>
    <row r="34" spans="2:12" ht="45">
      <c r="B34" s="792"/>
      <c r="C34" s="585" t="s">
        <v>573</v>
      </c>
      <c r="D34" s="585" t="s">
        <v>438</v>
      </c>
      <c r="E34" s="653" t="s">
        <v>290</v>
      </c>
      <c r="F34" s="585" t="s">
        <v>654</v>
      </c>
      <c r="G34" s="870" t="s">
        <v>860</v>
      </c>
      <c r="H34" s="585" t="s">
        <v>861</v>
      </c>
      <c r="I34" s="870" t="s">
        <v>862</v>
      </c>
      <c r="J34" s="585" t="s">
        <v>863</v>
      </c>
      <c r="K34" s="1126" t="s">
        <v>864</v>
      </c>
      <c r="L34" s="584" t="s">
        <v>865</v>
      </c>
    </row>
    <row r="35" spans="2:12">
      <c r="B35" s="600" t="s">
        <v>6</v>
      </c>
      <c r="C35" s="138">
        <v>14</v>
      </c>
      <c r="D35" s="138">
        <v>128</v>
      </c>
      <c r="E35" s="91">
        <f>'BW1-Bed and Row Spacing'!J10</f>
        <v>6701.5384615384619</v>
      </c>
      <c r="F35" s="139">
        <f>(((E35*12)/C35)/D35)*1.1</f>
        <v>49.364010989010993</v>
      </c>
      <c r="G35" s="871">
        <f>$E$69</f>
        <v>8.1492994195206201</v>
      </c>
      <c r="H35" s="58">
        <f>G35*F35</f>
        <v>402.28210609795678</v>
      </c>
      <c r="I35" s="871">
        <f>$D$123</f>
        <v>4.7594935948513521</v>
      </c>
      <c r="J35" s="58">
        <f t="shared" ref="J35:J53" si="3">I35*F35</f>
        <v>234.94769411836958</v>
      </c>
      <c r="K35" s="871">
        <f>F127</f>
        <v>0.98419200000000018</v>
      </c>
      <c r="L35" s="76">
        <f>K35*F35</f>
        <v>48.583664703296712</v>
      </c>
    </row>
    <row r="36" spans="2:12">
      <c r="B36" s="600" t="s">
        <v>106</v>
      </c>
      <c r="C36" s="138">
        <v>24</v>
      </c>
      <c r="D36" s="138">
        <v>128</v>
      </c>
      <c r="E36" s="91">
        <f>'BW1-Bed and Row Spacing'!J11</f>
        <v>6701.5384615384619</v>
      </c>
      <c r="F36" s="139">
        <f t="shared" ref="F36:F53" si="4">(((E36*12)/C36)/D36)*1.1</f>
        <v>28.79567307692308</v>
      </c>
      <c r="G36" s="871">
        <f>$E$69</f>
        <v>8.1492994195206201</v>
      </c>
      <c r="H36" s="58">
        <f t="shared" ref="H36:H53" si="5">G36*F36</f>
        <v>234.6645618904748</v>
      </c>
      <c r="I36" s="871">
        <f>$D$123</f>
        <v>4.7594935948513521</v>
      </c>
      <c r="J36" s="58">
        <f t="shared" si="3"/>
        <v>137.05282156904892</v>
      </c>
      <c r="K36" s="871">
        <f t="shared" ref="K36:K53" si="6">F128</f>
        <v>3.9353600000000002</v>
      </c>
      <c r="L36" s="76">
        <f t="shared" ref="L36:L53" si="7">K36*F36</f>
        <v>113.32134000000002</v>
      </c>
    </row>
    <row r="37" spans="2:12">
      <c r="B37" s="600" t="s">
        <v>7</v>
      </c>
      <c r="C37" s="138">
        <v>16</v>
      </c>
      <c r="D37" s="138">
        <v>128</v>
      </c>
      <c r="E37" s="91">
        <f>'BW1-Bed and Row Spacing'!J12</f>
        <v>6701.5384615384619</v>
      </c>
      <c r="F37" s="139">
        <f t="shared" si="4"/>
        <v>43.19350961538462</v>
      </c>
      <c r="G37" s="871">
        <f>$E$69</f>
        <v>8.1492994195206201</v>
      </c>
      <c r="H37" s="58">
        <f t="shared" si="5"/>
        <v>351.99684283571219</v>
      </c>
      <c r="I37" s="871">
        <f>$D$123</f>
        <v>4.7594935948513521</v>
      </c>
      <c r="J37" s="58">
        <f t="shared" si="3"/>
        <v>205.57923235357339</v>
      </c>
      <c r="K37" s="871">
        <f t="shared" si="6"/>
        <v>2.818816</v>
      </c>
      <c r="L37" s="76">
        <f t="shared" si="7"/>
        <v>121.75455600000001</v>
      </c>
    </row>
    <row r="38" spans="2:12">
      <c r="B38" s="600" t="s">
        <v>108</v>
      </c>
      <c r="C38" s="138">
        <v>18</v>
      </c>
      <c r="D38" s="138">
        <v>128</v>
      </c>
      <c r="E38" s="91">
        <f>'BW1-Bed and Row Spacing'!J14</f>
        <v>6701.5384615384619</v>
      </c>
      <c r="F38" s="139">
        <f t="shared" si="4"/>
        <v>38.394230769230781</v>
      </c>
      <c r="G38" s="871">
        <f>$E$69</f>
        <v>8.1492994195206201</v>
      </c>
      <c r="H38" s="58">
        <f t="shared" si="5"/>
        <v>312.88608252063312</v>
      </c>
      <c r="I38" s="871">
        <f>$D$123</f>
        <v>4.7594935948513521</v>
      </c>
      <c r="J38" s="58">
        <f t="shared" si="3"/>
        <v>182.73709542539859</v>
      </c>
      <c r="K38" s="871">
        <f t="shared" si="6"/>
        <v>4.7984640000000001</v>
      </c>
      <c r="L38" s="76">
        <f t="shared" si="7"/>
        <v>184.23333415384622</v>
      </c>
    </row>
    <row r="39" spans="2:12">
      <c r="B39" s="600" t="s">
        <v>111</v>
      </c>
      <c r="C39" s="138">
        <v>12</v>
      </c>
      <c r="D39" s="138">
        <v>72</v>
      </c>
      <c r="E39" s="91">
        <f>'BW1-Bed and Row Spacing'!J17</f>
        <v>4148.5714285714284</v>
      </c>
      <c r="F39" s="139">
        <f t="shared" si="4"/>
        <v>63.380952380952387</v>
      </c>
      <c r="G39" s="871">
        <f>$E$69</f>
        <v>8.1492994195206201</v>
      </c>
      <c r="H39" s="58">
        <f t="shared" si="5"/>
        <v>516.51035844675937</v>
      </c>
      <c r="I39" s="871">
        <f>$E$123</f>
        <v>5.1918642337825833</v>
      </c>
      <c r="J39" s="58">
        <f t="shared" si="3"/>
        <v>329.06529976974377</v>
      </c>
      <c r="K39" s="871">
        <f t="shared" si="6"/>
        <v>0.96426000000000001</v>
      </c>
      <c r="L39" s="76">
        <f t="shared" si="7"/>
        <v>61.11571714285715</v>
      </c>
    </row>
    <row r="40" spans="2:12">
      <c r="B40" s="600" t="s">
        <v>112</v>
      </c>
      <c r="C40" s="138">
        <v>18</v>
      </c>
      <c r="D40" s="138">
        <v>50</v>
      </c>
      <c r="E40" s="91">
        <f>'BW1-Bed and Row Spacing'!J18</f>
        <v>4148.5714285714284</v>
      </c>
      <c r="F40" s="139">
        <f t="shared" si="4"/>
        <v>60.845714285714294</v>
      </c>
      <c r="G40" s="871">
        <f>$E$75</f>
        <v>11.076296607020621</v>
      </c>
      <c r="H40" s="58">
        <f t="shared" si="5"/>
        <v>673.94517869460344</v>
      </c>
      <c r="I40" s="871">
        <f>$F$123</f>
        <v>5.722500919220594</v>
      </c>
      <c r="J40" s="58">
        <f t="shared" si="3"/>
        <v>348.18965593063365</v>
      </c>
      <c r="K40" s="871">
        <f t="shared" si="6"/>
        <v>1.9126250000000002</v>
      </c>
      <c r="L40" s="76">
        <f t="shared" si="7"/>
        <v>116.37503428571432</v>
      </c>
    </row>
    <row r="41" spans="2:12">
      <c r="B41" s="600" t="s">
        <v>123</v>
      </c>
      <c r="C41" s="138">
        <v>12</v>
      </c>
      <c r="D41" s="138">
        <v>128</v>
      </c>
      <c r="E41" s="91">
        <f>'BW1-Bed and Row Spacing'!J20</f>
        <v>6701.5384615384619</v>
      </c>
      <c r="F41" s="139">
        <f t="shared" si="4"/>
        <v>57.59134615384616</v>
      </c>
      <c r="G41" s="871">
        <f t="shared" ref="G41:G46" si="8">$E$69</f>
        <v>8.1492994195206201</v>
      </c>
      <c r="H41" s="58">
        <f t="shared" si="5"/>
        <v>469.3291237809496</v>
      </c>
      <c r="I41" s="871">
        <f>$D$123</f>
        <v>4.7594935948513521</v>
      </c>
      <c r="J41" s="58">
        <f t="shared" si="3"/>
        <v>274.10564313809783</v>
      </c>
      <c r="K41" s="871">
        <f t="shared" si="6"/>
        <v>1.9120640000000004</v>
      </c>
      <c r="L41" s="76">
        <f t="shared" si="7"/>
        <v>110.11833969230773</v>
      </c>
    </row>
    <row r="42" spans="2:12">
      <c r="B42" s="600" t="s">
        <v>113</v>
      </c>
      <c r="C42" s="91">
        <v>9</v>
      </c>
      <c r="D42" s="138">
        <v>128</v>
      </c>
      <c r="E42" s="91">
        <f>'BW1-Bed and Row Spacing'!J23</f>
        <v>6701.5384615384619</v>
      </c>
      <c r="F42" s="139">
        <f t="shared" si="4"/>
        <v>76.788461538461561</v>
      </c>
      <c r="G42" s="871">
        <f t="shared" si="8"/>
        <v>8.1492994195206201</v>
      </c>
      <c r="H42" s="58">
        <f t="shared" si="5"/>
        <v>625.77216504126625</v>
      </c>
      <c r="I42" s="871">
        <f>$D$123</f>
        <v>4.7594935948513521</v>
      </c>
      <c r="J42" s="58">
        <f t="shared" si="3"/>
        <v>365.47419085079719</v>
      </c>
      <c r="K42" s="871">
        <f t="shared" si="6"/>
        <v>1.4995200000000002</v>
      </c>
      <c r="L42" s="76">
        <f t="shared" si="7"/>
        <v>115.14583384615389</v>
      </c>
    </row>
    <row r="43" spans="2:12">
      <c r="B43" s="600" t="s">
        <v>114</v>
      </c>
      <c r="C43" s="91">
        <v>9</v>
      </c>
      <c r="D43" s="91">
        <v>162</v>
      </c>
      <c r="E43" s="91">
        <f>'BW1-Bed and Row Spacing'!J24</f>
        <v>6701.5384615384619</v>
      </c>
      <c r="F43" s="139">
        <f t="shared" si="4"/>
        <v>60.672364672364687</v>
      </c>
      <c r="G43" s="871">
        <f t="shared" si="8"/>
        <v>8.1492994195206201</v>
      </c>
      <c r="H43" s="58">
        <f t="shared" si="5"/>
        <v>494.43726620544493</v>
      </c>
      <c r="I43" s="1125">
        <f>$C$123</f>
        <v>4.608163871729853</v>
      </c>
      <c r="J43" s="58">
        <f t="shared" si="3"/>
        <v>279.58819889560959</v>
      </c>
      <c r="K43" s="871">
        <f t="shared" si="6"/>
        <v>2.97594</v>
      </c>
      <c r="L43" s="76">
        <f t="shared" si="7"/>
        <v>180.55731692307697</v>
      </c>
    </row>
    <row r="44" spans="2:12">
      <c r="B44" s="600" t="s">
        <v>115</v>
      </c>
      <c r="C44" s="91">
        <v>12</v>
      </c>
      <c r="D44" s="138">
        <v>128</v>
      </c>
      <c r="E44" s="91">
        <f>'BW1-Bed and Row Spacing'!J25</f>
        <v>6701.5384615384619</v>
      </c>
      <c r="F44" s="139">
        <f t="shared" si="4"/>
        <v>57.59134615384616</v>
      </c>
      <c r="G44" s="871">
        <f t="shared" si="8"/>
        <v>8.1492994195206201</v>
      </c>
      <c r="H44" s="58">
        <f t="shared" si="5"/>
        <v>469.3291237809496</v>
      </c>
      <c r="I44" s="871">
        <f>$D$123</f>
        <v>4.7594935948513521</v>
      </c>
      <c r="J44" s="58">
        <f t="shared" si="3"/>
        <v>274.10564313809783</v>
      </c>
      <c r="K44" s="871">
        <f t="shared" si="6"/>
        <v>0.51579733333333344</v>
      </c>
      <c r="L44" s="76">
        <f t="shared" si="7"/>
        <v>29.705462769230778</v>
      </c>
    </row>
    <row r="45" spans="2:12">
      <c r="B45" s="600" t="s">
        <v>116</v>
      </c>
      <c r="C45" s="91">
        <v>15</v>
      </c>
      <c r="D45" s="91">
        <v>72</v>
      </c>
      <c r="E45" s="91">
        <f>'BW1-Bed and Row Spacing'!J26</f>
        <v>2074.2857142857142</v>
      </c>
      <c r="F45" s="139">
        <f t="shared" si="4"/>
        <v>25.352380952380958</v>
      </c>
      <c r="G45" s="871">
        <f t="shared" si="8"/>
        <v>8.1492994195206201</v>
      </c>
      <c r="H45" s="58">
        <f t="shared" si="5"/>
        <v>206.60414337870378</v>
      </c>
      <c r="I45" s="871">
        <f>$E$123</f>
        <v>5.1918642337825833</v>
      </c>
      <c r="J45" s="58">
        <f t="shared" si="3"/>
        <v>131.62611990789753</v>
      </c>
      <c r="K45" s="871">
        <f t="shared" si="6"/>
        <v>3.9471300000000005</v>
      </c>
      <c r="L45" s="76">
        <f t="shared" si="7"/>
        <v>100.06914342857146</v>
      </c>
    </row>
    <row r="46" spans="2:12">
      <c r="B46" s="600" t="s">
        <v>117</v>
      </c>
      <c r="C46" s="140">
        <v>9</v>
      </c>
      <c r="D46" s="140">
        <v>162</v>
      </c>
      <c r="E46" s="91">
        <f>'BW1-Bed and Row Spacing'!J27</f>
        <v>6701.5384615384619</v>
      </c>
      <c r="F46" s="139">
        <f t="shared" si="4"/>
        <v>60.672364672364687</v>
      </c>
      <c r="G46" s="871">
        <f t="shared" si="8"/>
        <v>8.1492994195206201</v>
      </c>
      <c r="H46" s="58">
        <f t="shared" si="5"/>
        <v>494.43726620544493</v>
      </c>
      <c r="I46" s="1125">
        <f>$C$123</f>
        <v>4.608163871729853</v>
      </c>
      <c r="J46" s="58">
        <f t="shared" si="3"/>
        <v>279.58819889560959</v>
      </c>
      <c r="K46" s="871">
        <f t="shared" si="6"/>
        <v>1.0112850000000002</v>
      </c>
      <c r="L46" s="76">
        <f t="shared" si="7"/>
        <v>61.357052307692335</v>
      </c>
    </row>
    <row r="47" spans="2:12">
      <c r="B47" s="600" t="s">
        <v>118</v>
      </c>
      <c r="C47" s="140">
        <v>15</v>
      </c>
      <c r="D47" s="140">
        <v>50</v>
      </c>
      <c r="E47" s="91">
        <f>'BW1-Bed and Row Spacing'!J28</f>
        <v>4148.5714285714284</v>
      </c>
      <c r="F47" s="139">
        <f t="shared" si="4"/>
        <v>73.014857142857153</v>
      </c>
      <c r="G47" s="871">
        <f>$E$75</f>
        <v>11.076296607020621</v>
      </c>
      <c r="H47" s="58">
        <f t="shared" si="5"/>
        <v>808.73421443352402</v>
      </c>
      <c r="I47" s="871">
        <f>$F$123</f>
        <v>5.722500919220594</v>
      </c>
      <c r="J47" s="58">
        <f t="shared" si="3"/>
        <v>417.82758711676041</v>
      </c>
      <c r="K47" s="871">
        <f t="shared" si="6"/>
        <v>3.8390000000000004</v>
      </c>
      <c r="L47" s="76">
        <f t="shared" si="7"/>
        <v>280.30403657142864</v>
      </c>
    </row>
    <row r="48" spans="2:12">
      <c r="B48" s="600" t="s">
        <v>204</v>
      </c>
      <c r="C48" s="140">
        <v>9</v>
      </c>
      <c r="D48" s="140">
        <v>162</v>
      </c>
      <c r="E48" s="91">
        <f>'BW1-Bed and Row Spacing'!J32</f>
        <v>6701.5384615384619</v>
      </c>
      <c r="F48" s="139">
        <f t="shared" si="4"/>
        <v>60.672364672364687</v>
      </c>
      <c r="G48" s="871">
        <f>$E$69</f>
        <v>8.1492994195206201</v>
      </c>
      <c r="H48" s="58">
        <f t="shared" si="5"/>
        <v>494.43726620544493</v>
      </c>
      <c r="I48" s="1125">
        <f>$C$123</f>
        <v>4.608163871729853</v>
      </c>
      <c r="J48" s="58">
        <f t="shared" si="3"/>
        <v>279.58819889560959</v>
      </c>
      <c r="K48" s="871">
        <f t="shared" si="6"/>
        <v>0.84645000000000004</v>
      </c>
      <c r="L48" s="76">
        <f t="shared" si="7"/>
        <v>51.35612307692309</v>
      </c>
    </row>
    <row r="49" spans="2:30">
      <c r="B49" s="600" t="s">
        <v>119</v>
      </c>
      <c r="C49" s="140">
        <v>15</v>
      </c>
      <c r="D49" s="140">
        <v>72</v>
      </c>
      <c r="E49" s="91">
        <f>'BW1-Bed and Row Spacing'!J33</f>
        <v>2074.2857142857142</v>
      </c>
      <c r="F49" s="139">
        <f t="shared" si="4"/>
        <v>25.352380952380958</v>
      </c>
      <c r="G49" s="871">
        <f>$E$69</f>
        <v>8.1492994195206201</v>
      </c>
      <c r="H49" s="58">
        <f t="shared" si="5"/>
        <v>206.60414337870378</v>
      </c>
      <c r="I49" s="871">
        <f>$E$123</f>
        <v>5.1918642337825833</v>
      </c>
      <c r="J49" s="58">
        <f t="shared" si="3"/>
        <v>131.62611990789753</v>
      </c>
      <c r="K49" s="871">
        <f t="shared" si="6"/>
        <v>4.2243300000000001</v>
      </c>
      <c r="L49" s="76">
        <f t="shared" si="7"/>
        <v>107.09682342857145</v>
      </c>
    </row>
    <row r="50" spans="2:30">
      <c r="B50" s="600" t="s">
        <v>120</v>
      </c>
      <c r="C50" s="140">
        <v>15</v>
      </c>
      <c r="D50" s="140">
        <v>72</v>
      </c>
      <c r="E50" s="91">
        <f>'BW1-Bed and Row Spacing'!J34</f>
        <v>2074.2857142857142</v>
      </c>
      <c r="F50" s="139">
        <f t="shared" si="4"/>
        <v>25.352380952380958</v>
      </c>
      <c r="G50" s="871">
        <f>$E$69</f>
        <v>8.1492994195206201</v>
      </c>
      <c r="H50" s="58">
        <f t="shared" si="5"/>
        <v>206.60414337870378</v>
      </c>
      <c r="I50" s="871">
        <f>$E$123</f>
        <v>5.1918642337825833</v>
      </c>
      <c r="J50" s="58">
        <f t="shared" si="3"/>
        <v>131.62611990789753</v>
      </c>
      <c r="K50" s="871">
        <f t="shared" si="6"/>
        <v>3.1632479999999998</v>
      </c>
      <c r="L50" s="76">
        <f t="shared" si="7"/>
        <v>80.195868342857153</v>
      </c>
    </row>
    <row r="51" spans="2:30">
      <c r="B51" s="600" t="s">
        <v>126</v>
      </c>
      <c r="C51" s="140">
        <v>18</v>
      </c>
      <c r="D51" s="140">
        <v>50</v>
      </c>
      <c r="E51" s="140">
        <f>'BW1-Bed and Row Spacing'!J35</f>
        <v>1815</v>
      </c>
      <c r="F51" s="139">
        <f t="shared" si="4"/>
        <v>26.62</v>
      </c>
      <c r="G51" s="871">
        <f>$E$75</f>
        <v>11.076296607020621</v>
      </c>
      <c r="H51" s="58">
        <f t="shared" si="5"/>
        <v>294.85101567888893</v>
      </c>
      <c r="I51" s="871">
        <f>$F$123</f>
        <v>5.722500919220594</v>
      </c>
      <c r="J51" s="58">
        <f t="shared" si="3"/>
        <v>152.33297446965221</v>
      </c>
      <c r="K51" s="871">
        <f t="shared" si="6"/>
        <v>2.9067500000000006</v>
      </c>
      <c r="L51" s="76">
        <f t="shared" si="7"/>
        <v>77.377685000000014</v>
      </c>
    </row>
    <row r="52" spans="2:30">
      <c r="B52" s="600" t="s">
        <v>121</v>
      </c>
      <c r="C52" s="140">
        <v>24</v>
      </c>
      <c r="D52" s="140">
        <v>72</v>
      </c>
      <c r="E52" s="91">
        <f>'BW1-Bed and Row Spacing'!J36</f>
        <v>2074.2857142857142</v>
      </c>
      <c r="F52" s="139">
        <f t="shared" si="4"/>
        <v>15.845238095238097</v>
      </c>
      <c r="G52" s="871">
        <f>$E$69</f>
        <v>8.1492994195206201</v>
      </c>
      <c r="H52" s="58">
        <f t="shared" si="5"/>
        <v>129.12758961168984</v>
      </c>
      <c r="I52" s="871">
        <f>$E$123</f>
        <v>5.1918642337825833</v>
      </c>
      <c r="J52" s="58">
        <f t="shared" si="3"/>
        <v>82.266324942435944</v>
      </c>
      <c r="K52" s="871">
        <f t="shared" si="6"/>
        <v>1.4335200000000001</v>
      </c>
      <c r="L52" s="76">
        <f t="shared" si="7"/>
        <v>22.714465714285719</v>
      </c>
    </row>
    <row r="53" spans="2:30" ht="16" thickBot="1">
      <c r="B53" s="601" t="s">
        <v>462</v>
      </c>
      <c r="C53" s="141">
        <v>12</v>
      </c>
      <c r="D53" s="141">
        <v>72</v>
      </c>
      <c r="E53" s="273">
        <f>'BW1-Bed and Row Spacing'!J37</f>
        <v>4148.5714285714284</v>
      </c>
      <c r="F53" s="143">
        <f t="shared" si="4"/>
        <v>63.380952380952387</v>
      </c>
      <c r="G53" s="872">
        <f>$E$69</f>
        <v>8.1492994195206201</v>
      </c>
      <c r="H53" s="546">
        <f t="shared" si="5"/>
        <v>516.51035844675937</v>
      </c>
      <c r="I53" s="872">
        <f>$E$123</f>
        <v>5.1918642337825833</v>
      </c>
      <c r="J53" s="546">
        <f t="shared" si="3"/>
        <v>329.06529976974377</v>
      </c>
      <c r="K53" s="872">
        <f t="shared" si="6"/>
        <v>1.4510018518518522</v>
      </c>
      <c r="L53" s="79">
        <f t="shared" si="7"/>
        <v>91.965879276895976</v>
      </c>
    </row>
    <row r="54" spans="2:30" ht="16" thickBot="1">
      <c r="N54" s="19"/>
      <c r="O54" s="19"/>
      <c r="Q54" s="27"/>
      <c r="R54" s="27"/>
      <c r="S54" s="27"/>
      <c r="T54" s="28"/>
      <c r="U54" s="28"/>
      <c r="V54" s="28"/>
      <c r="W54" s="28"/>
      <c r="X54" s="28"/>
      <c r="Y54" s="28"/>
      <c r="Z54" s="28"/>
      <c r="AA54" s="28"/>
      <c r="AB54" s="28"/>
      <c r="AC54" s="28"/>
      <c r="AD54" s="28"/>
    </row>
    <row r="55" spans="2:30" s="252" customFormat="1" ht="19" customHeight="1" thickBot="1">
      <c r="B55" s="636" t="s">
        <v>652</v>
      </c>
      <c r="C55" s="639"/>
      <c r="D55" s="639"/>
      <c r="E55" s="639"/>
      <c r="F55" s="639"/>
      <c r="G55" s="639"/>
      <c r="H55" s="639"/>
      <c r="I55" s="637"/>
      <c r="J55" s="637"/>
      <c r="K55" s="637"/>
      <c r="L55" s="638"/>
    </row>
    <row r="56" spans="2:30">
      <c r="B56" s="808" t="s">
        <v>657</v>
      </c>
      <c r="C56" s="739"/>
      <c r="D56" s="739"/>
      <c r="E56" s="739"/>
      <c r="F56" s="740"/>
      <c r="G56" s="740"/>
      <c r="H56" s="740"/>
      <c r="I56" s="740"/>
      <c r="J56" s="740"/>
      <c r="K56" s="740"/>
      <c r="L56" s="741"/>
    </row>
    <row r="57" spans="2:30">
      <c r="B57" s="757" t="s">
        <v>578</v>
      </c>
      <c r="C57" s="733" t="s">
        <v>576</v>
      </c>
      <c r="D57" s="733" t="s">
        <v>577</v>
      </c>
      <c r="E57" s="733" t="s">
        <v>48</v>
      </c>
      <c r="F57" s="736" t="s">
        <v>266</v>
      </c>
      <c r="G57" s="734"/>
      <c r="H57" s="734"/>
      <c r="I57" s="734"/>
      <c r="J57" s="734"/>
      <c r="K57" s="734"/>
      <c r="L57" s="735"/>
    </row>
    <row r="58" spans="2:30" ht="17" customHeight="1">
      <c r="B58" s="669" t="s">
        <v>51</v>
      </c>
      <c r="C58" s="95">
        <v>1.5</v>
      </c>
      <c r="D58" s="95">
        <v>1.75</v>
      </c>
      <c r="E58" s="22"/>
      <c r="F58" s="673"/>
      <c r="G58" s="95"/>
      <c r="H58" s="95"/>
      <c r="I58" s="204"/>
      <c r="J58" s="204"/>
      <c r="K58" s="204"/>
      <c r="L58" s="211"/>
    </row>
    <row r="59" spans="2:30">
      <c r="B59" s="669" t="s">
        <v>655</v>
      </c>
      <c r="C59" s="95">
        <v>85</v>
      </c>
      <c r="D59" s="95">
        <v>133</v>
      </c>
      <c r="E59" s="95"/>
      <c r="F59" s="737"/>
      <c r="G59" s="204"/>
      <c r="H59" s="204"/>
      <c r="I59" s="204"/>
      <c r="J59" s="204"/>
      <c r="K59" s="204"/>
      <c r="L59" s="211"/>
    </row>
    <row r="60" spans="2:30">
      <c r="B60" s="669" t="s">
        <v>656</v>
      </c>
      <c r="C60" s="95">
        <v>55.25</v>
      </c>
      <c r="D60" s="95">
        <v>52</v>
      </c>
      <c r="E60" s="22"/>
      <c r="F60" s="673"/>
      <c r="G60" s="95"/>
      <c r="H60" s="95"/>
      <c r="I60" s="204"/>
      <c r="J60" s="204"/>
      <c r="K60" s="204"/>
      <c r="L60" s="211"/>
    </row>
    <row r="61" spans="2:30">
      <c r="B61" s="669" t="s">
        <v>38</v>
      </c>
      <c r="C61" s="95">
        <v>4.75</v>
      </c>
      <c r="D61" s="95">
        <v>8.25</v>
      </c>
      <c r="E61" s="95"/>
      <c r="F61" s="737"/>
      <c r="G61" s="204"/>
      <c r="H61" s="204"/>
      <c r="I61" s="204"/>
      <c r="J61" s="204"/>
      <c r="K61" s="204"/>
      <c r="L61" s="211"/>
      <c r="M61" s="19"/>
      <c r="N61" s="19"/>
      <c r="O61" s="18"/>
      <c r="P61" s="19"/>
      <c r="Q61" s="19"/>
      <c r="R61" s="19"/>
    </row>
    <row r="62" spans="2:30">
      <c r="B62" s="669" t="s">
        <v>50</v>
      </c>
      <c r="C62" s="95">
        <v>16.75</v>
      </c>
      <c r="D62" s="95">
        <v>19.5</v>
      </c>
      <c r="E62" s="22"/>
      <c r="F62" s="673"/>
      <c r="G62" s="95"/>
      <c r="H62" s="95"/>
      <c r="I62" s="204"/>
      <c r="J62" s="204"/>
      <c r="K62" s="204"/>
      <c r="L62" s="211"/>
      <c r="M62" s="19"/>
      <c r="N62" s="19"/>
      <c r="O62" s="18"/>
      <c r="P62" s="19"/>
      <c r="Q62" s="19"/>
      <c r="R62" s="19"/>
    </row>
    <row r="63" spans="2:30">
      <c r="B63" s="669" t="s">
        <v>52</v>
      </c>
      <c r="C63" s="95">
        <v>27.5</v>
      </c>
      <c r="D63" s="95">
        <v>33</v>
      </c>
      <c r="E63" s="95"/>
      <c r="F63" s="737"/>
      <c r="G63" s="204"/>
      <c r="H63" s="204"/>
      <c r="I63" s="204"/>
      <c r="J63" s="204"/>
      <c r="K63" s="204"/>
      <c r="L63" s="211"/>
      <c r="M63" s="19"/>
      <c r="N63" s="19"/>
      <c r="O63" s="18"/>
      <c r="P63" s="19"/>
      <c r="Q63" s="19"/>
      <c r="R63" s="19"/>
    </row>
    <row r="64" spans="2:30">
      <c r="B64" s="758" t="s">
        <v>63</v>
      </c>
      <c r="C64" s="59">
        <v>112</v>
      </c>
      <c r="D64" s="59">
        <v>112</v>
      </c>
      <c r="E64" s="59"/>
      <c r="F64" s="737"/>
      <c r="G64" s="204"/>
      <c r="H64" s="204"/>
      <c r="I64" s="204"/>
      <c r="J64" s="204"/>
      <c r="K64" s="204"/>
      <c r="L64" s="211"/>
      <c r="M64" s="19"/>
      <c r="N64" s="19"/>
      <c r="O64" s="18"/>
      <c r="P64" s="19"/>
      <c r="Q64" s="19"/>
      <c r="R64" s="19"/>
    </row>
    <row r="65" spans="1:29">
      <c r="B65" s="759" t="s">
        <v>53</v>
      </c>
      <c r="C65" s="200">
        <f>SUM(C58:C64)</f>
        <v>302.75</v>
      </c>
      <c r="D65" s="200">
        <f>SUM(D58:D64)</f>
        <v>359.5</v>
      </c>
      <c r="E65" s="95"/>
      <c r="F65" s="737"/>
      <c r="G65" s="204"/>
      <c r="H65" s="204"/>
      <c r="I65" s="204"/>
      <c r="J65" s="204"/>
      <c r="K65" s="204"/>
      <c r="L65" s="211"/>
      <c r="M65" s="19"/>
      <c r="N65" s="19"/>
      <c r="O65" s="18"/>
      <c r="P65" s="19"/>
      <c r="Q65" s="19"/>
      <c r="R65" s="19"/>
    </row>
    <row r="66" spans="1:29">
      <c r="B66" s="670"/>
      <c r="C66" s="205"/>
      <c r="D66" s="205"/>
      <c r="E66" s="95"/>
      <c r="F66" s="737"/>
      <c r="G66" s="204"/>
      <c r="H66" s="204"/>
      <c r="I66" s="204"/>
      <c r="J66" s="204"/>
      <c r="K66" s="204"/>
      <c r="L66" s="211"/>
    </row>
    <row r="67" spans="1:29">
      <c r="B67" s="669" t="s">
        <v>631</v>
      </c>
      <c r="C67" s="195">
        <f>'BW2-Field Act. Labor &amp; Mach.'!E84*'BW4-Transplant Production'!C65</f>
        <v>3993.9082749999998</v>
      </c>
      <c r="D67" s="195">
        <f>'BW2-Field Act. Labor &amp; Mach.'!E84*'BW4-Transplant Production'!D65</f>
        <v>4742.5599499999998</v>
      </c>
      <c r="E67" s="195"/>
      <c r="F67" s="788" t="s">
        <v>853</v>
      </c>
      <c r="G67" s="204"/>
      <c r="H67" s="204"/>
      <c r="I67" s="204"/>
      <c r="J67" s="204"/>
      <c r="K67" s="204"/>
      <c r="L67" s="211"/>
    </row>
    <row r="68" spans="1:29">
      <c r="B68" s="669" t="s">
        <v>54</v>
      </c>
      <c r="C68" s="809">
        <f>(421/225)*250</f>
        <v>467.77777777777777</v>
      </c>
      <c r="D68" s="809">
        <f>(550/225)*250</f>
        <v>611.1111111111112</v>
      </c>
      <c r="E68" s="95"/>
      <c r="F68" s="737"/>
      <c r="G68" s="204"/>
      <c r="H68" s="204"/>
      <c r="I68" s="204"/>
      <c r="J68" s="204"/>
      <c r="K68" s="204"/>
      <c r="L68" s="211"/>
    </row>
    <row r="69" spans="1:29">
      <c r="B69" s="760" t="s">
        <v>505</v>
      </c>
      <c r="C69" s="97">
        <f>C67/C68</f>
        <v>8.5380461935866983</v>
      </c>
      <c r="D69" s="97">
        <f>D67/D68</f>
        <v>7.7605526454545437</v>
      </c>
      <c r="E69" s="58">
        <f>AVERAGE(C69,D69)</f>
        <v>8.1492994195206201</v>
      </c>
      <c r="F69" s="673"/>
      <c r="G69" s="195"/>
      <c r="H69" s="195"/>
      <c r="I69" s="204"/>
      <c r="J69" s="204"/>
      <c r="K69" s="204"/>
      <c r="L69" s="211"/>
    </row>
    <row r="70" spans="1:29" s="44" customFormat="1">
      <c r="A70" s="5"/>
      <c r="B70" s="760"/>
      <c r="C70" s="195"/>
      <c r="D70" s="195"/>
      <c r="E70" s="22"/>
      <c r="F70" s="673"/>
      <c r="G70" s="195"/>
      <c r="H70" s="195"/>
      <c r="I70" s="204"/>
      <c r="J70" s="204"/>
      <c r="K70" s="204"/>
      <c r="L70" s="211"/>
    </row>
    <row r="71" spans="1:29" ht="30">
      <c r="B71" s="761" t="s">
        <v>507</v>
      </c>
      <c r="C71" s="95">
        <v>20</v>
      </c>
      <c r="D71" s="95">
        <v>29.25</v>
      </c>
      <c r="E71" s="95"/>
      <c r="F71" s="788" t="s">
        <v>658</v>
      </c>
      <c r="G71" s="204"/>
      <c r="H71" s="204"/>
      <c r="I71" s="204"/>
      <c r="J71" s="204"/>
      <c r="K71" s="204"/>
      <c r="L71" s="211"/>
    </row>
    <row r="72" spans="1:29">
      <c r="B72" s="761" t="s">
        <v>633</v>
      </c>
      <c r="C72" s="549">
        <f>'BW2-Field Act. Labor &amp; Mach.'!E84*C71</f>
        <v>263.84199999999998</v>
      </c>
      <c r="D72" s="549">
        <f>'BW2-Field Act. Labor &amp; Mach.'!E84*D71</f>
        <v>385.86892499999999</v>
      </c>
      <c r="E72" s="95"/>
      <c r="F72" s="788" t="s">
        <v>853</v>
      </c>
      <c r="G72" s="204"/>
      <c r="H72" s="204"/>
      <c r="I72" s="204"/>
      <c r="J72" s="204"/>
      <c r="K72" s="204"/>
      <c r="L72" s="211"/>
    </row>
    <row r="73" spans="1:29">
      <c r="B73" s="761" t="s">
        <v>503</v>
      </c>
      <c r="C73" s="95">
        <v>100</v>
      </c>
      <c r="D73" s="95">
        <f>D93</f>
        <v>120</v>
      </c>
      <c r="E73" s="95"/>
      <c r="F73" s="737"/>
      <c r="G73" s="204"/>
      <c r="H73" s="204"/>
      <c r="I73" s="204"/>
      <c r="J73" s="204"/>
      <c r="K73" s="204"/>
      <c r="L73" s="211"/>
    </row>
    <row r="74" spans="1:29">
      <c r="B74" s="761" t="s">
        <v>504</v>
      </c>
      <c r="C74" s="195">
        <f>C72/C73</f>
        <v>2.63842</v>
      </c>
      <c r="D74" s="195">
        <f>D72/D73</f>
        <v>3.2155743750000001</v>
      </c>
      <c r="E74" s="95"/>
      <c r="F74" s="737"/>
      <c r="G74" s="204"/>
      <c r="H74" s="204"/>
      <c r="I74" s="204"/>
      <c r="J74" s="204"/>
      <c r="K74" s="204"/>
      <c r="L74" s="211"/>
    </row>
    <row r="75" spans="1:29" ht="31" thickBot="1">
      <c r="B75" s="762" t="s">
        <v>506</v>
      </c>
      <c r="C75" s="550">
        <f>C69+C74</f>
        <v>11.176466193586698</v>
      </c>
      <c r="D75" s="550">
        <f>D69+D74</f>
        <v>10.976127020454545</v>
      </c>
      <c r="E75" s="551">
        <f>AVERAGE(C75,D75)</f>
        <v>11.076296607020621</v>
      </c>
      <c r="F75" s="738"/>
      <c r="G75" s="547"/>
      <c r="H75" s="547"/>
      <c r="I75" s="547"/>
      <c r="J75" s="547"/>
      <c r="K75" s="547"/>
      <c r="L75" s="548"/>
    </row>
    <row r="76" spans="1:29" ht="16" thickBot="1"/>
    <row r="77" spans="1:29" s="252" customFormat="1" ht="20" customHeight="1" thickBot="1">
      <c r="B77" s="636" t="s">
        <v>653</v>
      </c>
      <c r="C77" s="637"/>
      <c r="D77" s="637"/>
      <c r="E77" s="637"/>
      <c r="F77" s="637"/>
      <c r="G77" s="637"/>
      <c r="H77" s="637"/>
      <c r="I77" s="637"/>
      <c r="J77" s="637"/>
      <c r="K77" s="637"/>
      <c r="L77" s="638"/>
    </row>
    <row r="78" spans="1:29">
      <c r="B78" s="695" t="s">
        <v>435</v>
      </c>
      <c r="C78" s="696"/>
      <c r="D78" s="696"/>
      <c r="E78" s="696"/>
      <c r="F78" s="696"/>
      <c r="G78" s="696"/>
      <c r="H78" s="696"/>
      <c r="I78" s="696"/>
      <c r="J78" s="696"/>
      <c r="K78" s="696"/>
      <c r="L78" s="701"/>
      <c r="M78" s="19"/>
      <c r="N78" s="19"/>
      <c r="P78" s="27"/>
      <c r="Q78" s="27"/>
      <c r="R78" s="27"/>
      <c r="S78" s="28"/>
      <c r="T78" s="28"/>
      <c r="U78" s="28"/>
      <c r="V78" s="28"/>
      <c r="W78" s="28"/>
      <c r="X78" s="28"/>
      <c r="Y78" s="28"/>
      <c r="Z78" s="28"/>
      <c r="AA78" s="28"/>
      <c r="AB78" s="28"/>
      <c r="AC78" s="28"/>
    </row>
    <row r="79" spans="1:29" ht="30">
      <c r="A79" s="31"/>
      <c r="B79" s="787" t="s">
        <v>58</v>
      </c>
      <c r="C79" s="629" t="s">
        <v>854</v>
      </c>
      <c r="D79" s="629" t="s">
        <v>60</v>
      </c>
      <c r="E79" s="630" t="s">
        <v>20</v>
      </c>
      <c r="F79" s="631" t="s">
        <v>59</v>
      </c>
      <c r="G79" s="631" t="s">
        <v>855</v>
      </c>
      <c r="H79" s="632"/>
      <c r="I79" s="633"/>
      <c r="J79" s="633"/>
      <c r="K79" s="633"/>
      <c r="L79" s="634"/>
      <c r="M79" s="19"/>
      <c r="N79" s="19"/>
      <c r="P79" s="27"/>
      <c r="Q79" s="27"/>
      <c r="R79" s="27"/>
      <c r="S79" s="28"/>
      <c r="T79" s="28"/>
      <c r="U79" s="28"/>
      <c r="V79" s="28"/>
      <c r="W79" s="28"/>
      <c r="X79" s="28"/>
      <c r="Y79" s="28"/>
      <c r="Z79" s="28"/>
      <c r="AA79" s="28"/>
      <c r="AB79" s="28"/>
      <c r="AC79" s="28"/>
    </row>
    <row r="80" spans="1:29">
      <c r="A80" s="31"/>
      <c r="B80" s="1044" t="s">
        <v>734</v>
      </c>
      <c r="C80" s="190">
        <v>850</v>
      </c>
      <c r="D80" s="35">
        <v>850</v>
      </c>
      <c r="E80" s="194">
        <v>30</v>
      </c>
      <c r="F80" s="35">
        <f t="shared" ref="F80:F85" si="9">D80/E80</f>
        <v>28.333333333333332</v>
      </c>
      <c r="G80" s="66">
        <f t="shared" ref="G80:G85" si="10">F80/$D$94</f>
        <v>4.6363636363636364E-2</v>
      </c>
      <c r="H80" s="66"/>
      <c r="I80" s="64"/>
      <c r="J80" s="190"/>
      <c r="K80" s="64"/>
      <c r="L80" s="362"/>
      <c r="M80" s="19"/>
      <c r="N80" s="19"/>
      <c r="P80" s="27"/>
      <c r="Q80" s="27"/>
      <c r="R80" s="27"/>
      <c r="S80" s="28"/>
      <c r="T80" s="28"/>
      <c r="U80" s="28"/>
      <c r="V80" s="28"/>
      <c r="W80" s="28"/>
      <c r="X80" s="28"/>
      <c r="Y80" s="28"/>
      <c r="Z80" s="28"/>
      <c r="AA80" s="28"/>
      <c r="AB80" s="28"/>
      <c r="AC80" s="28"/>
    </row>
    <row r="81" spans="1:29">
      <c r="A81" s="31"/>
      <c r="B81" s="1045" t="s">
        <v>61</v>
      </c>
      <c r="C81" s="35">
        <v>50</v>
      </c>
      <c r="D81" s="35">
        <f>C81*3</f>
        <v>150</v>
      </c>
      <c r="E81" s="194">
        <v>30</v>
      </c>
      <c r="F81" s="35">
        <f t="shared" si="9"/>
        <v>5</v>
      </c>
      <c r="G81" s="66">
        <f t="shared" si="10"/>
        <v>8.1818181818181825E-3</v>
      </c>
      <c r="H81" s="66"/>
      <c r="I81" s="64"/>
      <c r="J81" s="190"/>
      <c r="K81" s="64"/>
      <c r="L81" s="362"/>
      <c r="M81" s="19"/>
      <c r="N81" s="19"/>
      <c r="P81" s="27"/>
      <c r="Q81" s="27"/>
      <c r="R81" s="27"/>
      <c r="S81" s="28"/>
      <c r="T81" s="28"/>
      <c r="U81" s="28"/>
      <c r="V81" s="28"/>
      <c r="W81" s="28"/>
      <c r="X81" s="28"/>
      <c r="Y81" s="28"/>
      <c r="Z81" s="28"/>
      <c r="AA81" s="28"/>
      <c r="AB81" s="28"/>
      <c r="AC81" s="28"/>
    </row>
    <row r="82" spans="1:29">
      <c r="A82" s="31"/>
      <c r="B82" s="1045" t="s">
        <v>62</v>
      </c>
      <c r="C82" s="35">
        <v>50</v>
      </c>
      <c r="D82" s="35">
        <f>C82*3</f>
        <v>150</v>
      </c>
      <c r="E82" s="194">
        <v>30</v>
      </c>
      <c r="F82" s="35">
        <f t="shared" si="9"/>
        <v>5</v>
      </c>
      <c r="G82" s="66">
        <f t="shared" si="10"/>
        <v>8.1818181818181825E-3</v>
      </c>
      <c r="H82" s="66"/>
      <c r="I82" s="64"/>
      <c r="J82" s="190"/>
      <c r="K82" s="64"/>
      <c r="L82" s="362"/>
      <c r="M82" s="19"/>
      <c r="N82" s="19"/>
      <c r="P82" s="27"/>
      <c r="Q82" s="27"/>
      <c r="R82" s="27"/>
      <c r="S82" s="28"/>
      <c r="T82" s="28"/>
      <c r="U82" s="28"/>
      <c r="V82" s="28"/>
      <c r="W82" s="28"/>
      <c r="X82" s="28"/>
      <c r="Y82" s="28"/>
      <c r="Z82" s="28"/>
      <c r="AA82" s="28"/>
      <c r="AB82" s="28"/>
      <c r="AC82" s="28"/>
    </row>
    <row r="83" spans="1:29" ht="17" customHeight="1">
      <c r="A83" s="31"/>
      <c r="B83" s="1046" t="s">
        <v>735</v>
      </c>
      <c r="C83" s="35">
        <f>338+7.5</f>
        <v>345.5</v>
      </c>
      <c r="D83" s="35">
        <f>338+7.5</f>
        <v>345.5</v>
      </c>
      <c r="E83" s="194">
        <v>15</v>
      </c>
      <c r="F83" s="35">
        <f t="shared" si="9"/>
        <v>23.033333333333335</v>
      </c>
      <c r="G83" s="66">
        <f t="shared" si="10"/>
        <v>3.7690909090909094E-2</v>
      </c>
      <c r="H83" s="66"/>
      <c r="I83" s="64"/>
      <c r="J83" s="190"/>
      <c r="K83" s="64"/>
      <c r="L83" s="362"/>
      <c r="M83" s="20"/>
      <c r="N83" s="19"/>
    </row>
    <row r="84" spans="1:29">
      <c r="A84" s="31"/>
      <c r="B84" s="1044" t="s">
        <v>736</v>
      </c>
      <c r="C84" s="35">
        <v>225</v>
      </c>
      <c r="D84" s="35">
        <v>225</v>
      </c>
      <c r="E84" s="194">
        <v>15</v>
      </c>
      <c r="F84" s="35">
        <f t="shared" si="9"/>
        <v>15</v>
      </c>
      <c r="G84" s="66">
        <f t="shared" si="10"/>
        <v>2.4545454545454547E-2</v>
      </c>
      <c r="H84" s="66"/>
      <c r="I84" s="64"/>
      <c r="J84" s="190"/>
      <c r="K84" s="64"/>
      <c r="L84" s="362"/>
      <c r="M84" s="18"/>
      <c r="N84" s="18"/>
      <c r="P84" s="19"/>
      <c r="Q84" s="18"/>
      <c r="R84" s="19"/>
      <c r="S84" s="19"/>
      <c r="T84" s="19"/>
    </row>
    <row r="85" spans="1:29">
      <c r="A85" s="31"/>
      <c r="B85" s="1047" t="s">
        <v>737</v>
      </c>
      <c r="C85" s="35">
        <v>4.6500000000000004</v>
      </c>
      <c r="D85" s="35">
        <f>C85*750</f>
        <v>3487.5000000000005</v>
      </c>
      <c r="E85" s="194">
        <v>20</v>
      </c>
      <c r="F85" s="35">
        <f t="shared" si="9"/>
        <v>174.37500000000003</v>
      </c>
      <c r="G85" s="66">
        <f t="shared" si="10"/>
        <v>0.28534090909090915</v>
      </c>
      <c r="H85" s="66"/>
      <c r="I85" s="64"/>
      <c r="J85" s="190"/>
      <c r="K85" s="64"/>
      <c r="L85" s="362"/>
      <c r="M85" s="19"/>
      <c r="N85" s="19"/>
      <c r="P85" s="19"/>
      <c r="Q85" s="19"/>
      <c r="R85" s="19"/>
    </row>
    <row r="86" spans="1:29" s="28" customFormat="1">
      <c r="A86" s="5"/>
      <c r="B86" s="207" t="s">
        <v>172</v>
      </c>
      <c r="C86" s="22"/>
      <c r="D86" s="22"/>
      <c r="E86" s="22"/>
      <c r="F86" s="22"/>
      <c r="G86" s="58">
        <f>SUM(G80:G84)</f>
        <v>0.12496363636363637</v>
      </c>
      <c r="H86" s="22"/>
      <c r="I86" s="22"/>
      <c r="J86" s="22"/>
      <c r="K86" s="22"/>
      <c r="L86" s="84"/>
      <c r="M86" s="26"/>
      <c r="N86" s="26"/>
      <c r="O86" s="27"/>
      <c r="P86" s="27"/>
      <c r="Q86" s="27"/>
    </row>
    <row r="87" spans="1:29">
      <c r="B87" s="725" t="s">
        <v>436</v>
      </c>
      <c r="C87" s="726"/>
      <c r="D87" s="726"/>
      <c r="E87" s="726"/>
      <c r="F87" s="726"/>
      <c r="G87" s="726"/>
      <c r="H87" s="726"/>
      <c r="I87" s="727"/>
      <c r="J87" s="727"/>
      <c r="K87" s="727"/>
      <c r="L87" s="728"/>
      <c r="M87" s="19"/>
      <c r="N87" s="19"/>
      <c r="O87" s="18"/>
      <c r="P87" s="19"/>
      <c r="Q87" s="19"/>
      <c r="R87" s="19"/>
    </row>
    <row r="88" spans="1:29" ht="75">
      <c r="B88" s="626" t="s">
        <v>438</v>
      </c>
      <c r="C88" s="746" t="s">
        <v>856</v>
      </c>
      <c r="D88" s="627" t="s">
        <v>659</v>
      </c>
      <c r="E88" s="628" t="s">
        <v>439</v>
      </c>
      <c r="F88" s="628" t="s">
        <v>857</v>
      </c>
      <c r="G88" s="628" t="s">
        <v>440</v>
      </c>
      <c r="H88" s="628" t="s">
        <v>858</v>
      </c>
      <c r="I88" s="628" t="s">
        <v>441</v>
      </c>
      <c r="J88" s="628" t="s">
        <v>49</v>
      </c>
      <c r="K88" s="544" t="s">
        <v>288</v>
      </c>
      <c r="L88" s="602" t="s">
        <v>859</v>
      </c>
      <c r="M88" s="19"/>
      <c r="N88" s="19"/>
      <c r="O88" s="18"/>
      <c r="P88" s="19"/>
      <c r="Q88" s="19"/>
      <c r="R88" s="19"/>
    </row>
    <row r="89" spans="1:29">
      <c r="A89" s="28"/>
      <c r="B89" s="209"/>
      <c r="C89" s="747"/>
      <c r="D89" s="201"/>
      <c r="E89" s="201"/>
      <c r="F89" s="201"/>
      <c r="G89" s="201"/>
      <c r="H89" s="202">
        <v>11.3</v>
      </c>
      <c r="I89" s="203"/>
      <c r="J89" s="203"/>
      <c r="K89" s="203"/>
      <c r="L89" s="210"/>
      <c r="M89" s="19"/>
      <c r="N89" s="19"/>
      <c r="O89" s="18"/>
      <c r="P89" s="19"/>
      <c r="Q89" s="19"/>
      <c r="R89" s="19"/>
    </row>
    <row r="90" spans="1:29">
      <c r="B90" s="75">
        <v>162</v>
      </c>
      <c r="C90" s="748">
        <v>0.13500000000000001</v>
      </c>
      <c r="D90" s="809">
        <f>73/225*250</f>
        <v>81.1111111111111</v>
      </c>
      <c r="E90" s="204">
        <f>C90*D90</f>
        <v>10.95</v>
      </c>
      <c r="F90" s="204">
        <v>1.5</v>
      </c>
      <c r="G90" s="204">
        <f>E90/F90</f>
        <v>7.3</v>
      </c>
      <c r="H90" s="204"/>
      <c r="I90" s="195">
        <f>$H$89*G90</f>
        <v>82.490000000000009</v>
      </c>
      <c r="J90" s="47">
        <f>($J$94/$E$94)*E90</f>
        <v>27.980697878694109</v>
      </c>
      <c r="K90" s="47">
        <f>($K$94/$D$94)*D90</f>
        <v>10.618181818181817</v>
      </c>
      <c r="L90" s="76">
        <f>(I90+J90+K90)/D90</f>
        <v>1.4928765990025803</v>
      </c>
      <c r="M90" s="19"/>
      <c r="N90" s="19"/>
      <c r="O90" s="18"/>
      <c r="P90" s="19"/>
      <c r="Q90" s="19"/>
      <c r="R90" s="19"/>
    </row>
    <row r="91" spans="1:29">
      <c r="B91" s="75">
        <v>128</v>
      </c>
      <c r="C91" s="748">
        <v>0.15</v>
      </c>
      <c r="D91" s="809">
        <f>249/225*250</f>
        <v>276.66666666666669</v>
      </c>
      <c r="E91" s="204">
        <f>C91*D91</f>
        <v>41.5</v>
      </c>
      <c r="F91" s="204">
        <v>1.5</v>
      </c>
      <c r="G91" s="204">
        <f>E91/F91</f>
        <v>27.666666666666668</v>
      </c>
      <c r="H91" s="204"/>
      <c r="I91" s="195">
        <f>$H$89*G91</f>
        <v>312.63333333333338</v>
      </c>
      <c r="J91" s="47">
        <f>($J$94/$E$94)*E91</f>
        <v>106.0455673028133</v>
      </c>
      <c r="K91" s="47">
        <f>($K$94/$D$94)*D91</f>
        <v>36.218181818181826</v>
      </c>
      <c r="L91" s="76">
        <f>(I91+J91+K91)/D91</f>
        <v>1.644206322124079</v>
      </c>
      <c r="M91" s="19"/>
      <c r="N91" s="19"/>
      <c r="O91" s="18"/>
      <c r="P91" s="19"/>
      <c r="Q91" s="19"/>
      <c r="R91" s="19"/>
    </row>
    <row r="92" spans="1:29">
      <c r="B92" s="75">
        <v>72</v>
      </c>
      <c r="C92" s="748">
        <v>0.19285714300000001</v>
      </c>
      <c r="D92" s="809">
        <f>120/225*250</f>
        <v>133.33333333333334</v>
      </c>
      <c r="E92" s="204">
        <f>C92*D92</f>
        <v>25.714285733333337</v>
      </c>
      <c r="F92" s="204">
        <v>1.5</v>
      </c>
      <c r="G92" s="204">
        <f>E92/F92</f>
        <v>17.142857155555557</v>
      </c>
      <c r="H92" s="204"/>
      <c r="I92" s="195">
        <f>$H$89*G92</f>
        <v>193.71428585777781</v>
      </c>
      <c r="J92" s="47">
        <f>($J$94/$E$94)*E92</f>
        <v>65.708096828384868</v>
      </c>
      <c r="K92" s="47">
        <f>($K$94/$D$94)*D92</f>
        <v>17.454545454545457</v>
      </c>
      <c r="L92" s="76">
        <f>(I92+J92+K92)/D92</f>
        <v>2.0765769610553106</v>
      </c>
      <c r="M92" s="19"/>
      <c r="N92" s="19"/>
      <c r="O92" s="18"/>
      <c r="P92" s="19"/>
      <c r="Q92" s="19"/>
      <c r="R92" s="19"/>
    </row>
    <row r="93" spans="1:29">
      <c r="B93" s="75">
        <v>50</v>
      </c>
      <c r="C93" s="748">
        <v>0.245454545</v>
      </c>
      <c r="D93" s="809">
        <f>108/225*250</f>
        <v>120</v>
      </c>
      <c r="E93" s="204">
        <f>C93*D93</f>
        <v>29.454545400000001</v>
      </c>
      <c r="F93" s="204">
        <v>1.5</v>
      </c>
      <c r="G93" s="204">
        <f>E93/F93</f>
        <v>19.636363599999999</v>
      </c>
      <c r="H93" s="204"/>
      <c r="I93" s="195">
        <f>$H$89*G93</f>
        <v>221.89090868</v>
      </c>
      <c r="J93" s="47">
        <f>($J$94/$E$94)*E93</f>
        <v>75.265637990107706</v>
      </c>
      <c r="K93" s="47">
        <f>($K$94/$D$94)*D93</f>
        <v>15.709090909090911</v>
      </c>
      <c r="L93" s="76">
        <f>(I93+J93+K93)/D93</f>
        <v>2.6072136464933213</v>
      </c>
      <c r="M93" s="19"/>
      <c r="N93" s="19"/>
      <c r="O93" s="18"/>
      <c r="P93" s="19"/>
      <c r="Q93" s="19"/>
      <c r="R93" s="19"/>
    </row>
    <row r="94" spans="1:29">
      <c r="B94" s="208" t="s">
        <v>55</v>
      </c>
      <c r="C94" s="749"/>
      <c r="D94" s="204">
        <f>SUM(D90:D93)</f>
        <v>611.11111111111109</v>
      </c>
      <c r="E94" s="204">
        <f>SUM(E90:E93)</f>
        <v>107.61883113333334</v>
      </c>
      <c r="F94" s="22"/>
      <c r="G94" s="204">
        <f>SUM(G90:G93)</f>
        <v>71.745887422222225</v>
      </c>
      <c r="H94" s="204"/>
      <c r="I94" s="195">
        <f>SUM(I90:I93)</f>
        <v>810.72852787111128</v>
      </c>
      <c r="J94" s="195">
        <v>275</v>
      </c>
      <c r="K94" s="195">
        <v>80</v>
      </c>
      <c r="L94" s="84"/>
      <c r="M94" s="18"/>
      <c r="N94" s="18"/>
      <c r="O94" s="19"/>
      <c r="P94" s="19"/>
      <c r="Q94" s="18"/>
      <c r="R94" s="19"/>
      <c r="S94" s="19"/>
      <c r="T94" s="19"/>
    </row>
    <row r="95" spans="1:29">
      <c r="B95" s="1048" t="s">
        <v>738</v>
      </c>
      <c r="C95" s="705"/>
      <c r="D95" s="705"/>
      <c r="E95" s="705"/>
      <c r="F95" s="724" t="s">
        <v>561</v>
      </c>
      <c r="G95" s="696"/>
      <c r="H95" s="696"/>
      <c r="I95" s="696"/>
      <c r="J95" s="722"/>
      <c r="K95" s="722"/>
      <c r="L95" s="729"/>
    </row>
    <row r="96" spans="1:29">
      <c r="B96" s="212" t="s">
        <v>100</v>
      </c>
      <c r="C96" s="750"/>
      <c r="D96" s="4"/>
      <c r="E96" s="745" t="s">
        <v>571</v>
      </c>
      <c r="G96" s="55"/>
      <c r="H96" s="22"/>
      <c r="I96" s="22"/>
      <c r="J96" s="22"/>
      <c r="K96" s="22"/>
      <c r="L96" s="84"/>
    </row>
    <row r="97" spans="1:21">
      <c r="B97" s="103" t="s">
        <v>564</v>
      </c>
      <c r="C97" s="750"/>
      <c r="D97" s="46">
        <f>3500+1040</f>
        <v>4540</v>
      </c>
      <c r="E97" s="742" t="s">
        <v>563</v>
      </c>
      <c r="G97" s="55"/>
      <c r="H97" s="83"/>
      <c r="I97" s="55"/>
      <c r="J97" s="55"/>
      <c r="K97" s="55"/>
      <c r="L97" s="199"/>
    </row>
    <row r="98" spans="1:21">
      <c r="B98" s="103" t="s">
        <v>567</v>
      </c>
      <c r="C98" s="750"/>
      <c r="D98" s="46">
        <f>2000+800+377</f>
        <v>3177</v>
      </c>
      <c r="E98" s="744" t="s">
        <v>565</v>
      </c>
      <c r="G98" s="4"/>
      <c r="H98" s="4"/>
      <c r="I98" s="55"/>
      <c r="J98" s="4"/>
      <c r="K98" s="55"/>
      <c r="L98" s="199"/>
    </row>
    <row r="99" spans="1:21">
      <c r="A99" s="44"/>
      <c r="B99" s="103" t="s">
        <v>568</v>
      </c>
      <c r="C99" s="750"/>
      <c r="D99" s="46">
        <v>1300</v>
      </c>
      <c r="E99" s="744" t="s">
        <v>566</v>
      </c>
      <c r="G99" s="4"/>
      <c r="H99" s="4"/>
      <c r="I99" s="22"/>
      <c r="J99" s="4"/>
      <c r="K99" s="22"/>
      <c r="L99" s="84"/>
    </row>
    <row r="100" spans="1:21">
      <c r="B100" s="213" t="s">
        <v>5</v>
      </c>
      <c r="C100" s="751"/>
      <c r="D100" s="49">
        <f>D97+D98+D99</f>
        <v>9017</v>
      </c>
      <c r="E100" s="742"/>
      <c r="G100" s="83"/>
      <c r="H100" s="56"/>
      <c r="I100" s="56"/>
      <c r="J100" s="56"/>
      <c r="K100" s="56"/>
      <c r="L100" s="180"/>
    </row>
    <row r="101" spans="1:21">
      <c r="B101" s="103"/>
      <c r="C101" s="750"/>
      <c r="D101" s="4"/>
      <c r="E101" s="742"/>
      <c r="G101" s="55"/>
      <c r="H101" s="22"/>
      <c r="I101" s="22"/>
      <c r="J101" s="22"/>
      <c r="K101" s="22"/>
      <c r="L101" s="84"/>
    </row>
    <row r="102" spans="1:21">
      <c r="B102" s="103" t="s">
        <v>570</v>
      </c>
      <c r="C102" s="750"/>
      <c r="D102" s="4">
        <v>20</v>
      </c>
      <c r="E102" s="742"/>
      <c r="G102" s="55"/>
      <c r="H102" s="22"/>
      <c r="I102" s="22"/>
      <c r="J102" s="22"/>
      <c r="K102" s="22"/>
      <c r="L102" s="84"/>
    </row>
    <row r="103" spans="1:21">
      <c r="B103" s="103"/>
      <c r="C103" s="750"/>
      <c r="D103" s="4"/>
      <c r="E103" s="742"/>
      <c r="G103" s="55"/>
      <c r="H103" s="22"/>
      <c r="I103" s="22"/>
      <c r="J103" s="22"/>
      <c r="K103" s="22"/>
      <c r="L103" s="84"/>
    </row>
    <row r="104" spans="1:21">
      <c r="B104" s="213" t="s">
        <v>0</v>
      </c>
      <c r="C104" s="750"/>
      <c r="D104" s="60">
        <f>D100/D102</f>
        <v>450.85</v>
      </c>
      <c r="E104" s="742"/>
      <c r="G104" s="55"/>
      <c r="H104" s="22"/>
      <c r="I104" s="22"/>
      <c r="J104" s="22"/>
      <c r="K104" s="22"/>
      <c r="L104" s="84"/>
    </row>
    <row r="105" spans="1:21">
      <c r="B105" s="103"/>
      <c r="C105" s="750"/>
      <c r="D105" s="46"/>
      <c r="E105" s="742"/>
      <c r="G105" s="55"/>
      <c r="H105" s="22"/>
      <c r="I105" s="22"/>
      <c r="J105" s="22"/>
      <c r="K105" s="22"/>
      <c r="L105" s="84"/>
    </row>
    <row r="106" spans="1:21">
      <c r="B106" s="212" t="s">
        <v>101</v>
      </c>
      <c r="C106" s="750"/>
      <c r="D106" s="46"/>
      <c r="E106" s="742"/>
      <c r="G106" s="55"/>
      <c r="H106" s="22"/>
      <c r="I106" s="22"/>
      <c r="J106" s="22"/>
      <c r="K106" s="22"/>
      <c r="L106" s="84"/>
    </row>
    <row r="107" spans="1:21">
      <c r="B107" s="103" t="s">
        <v>569</v>
      </c>
      <c r="C107" s="750"/>
      <c r="D107" s="46">
        <f>(600+100)/5</f>
        <v>140</v>
      </c>
      <c r="E107" s="742" t="s">
        <v>875</v>
      </c>
      <c r="G107" s="55"/>
      <c r="H107" s="22"/>
      <c r="I107" s="22"/>
      <c r="J107" s="22"/>
      <c r="K107" s="22"/>
      <c r="L107" s="84"/>
    </row>
    <row r="108" spans="1:21">
      <c r="B108" s="103" t="s">
        <v>1</v>
      </c>
      <c r="C108" s="750"/>
      <c r="D108" s="46">
        <f>5*15</f>
        <v>75</v>
      </c>
      <c r="E108" s="742"/>
      <c r="G108" s="55"/>
      <c r="H108" s="22"/>
      <c r="I108" s="22"/>
      <c r="J108" s="22"/>
      <c r="K108" s="22"/>
      <c r="L108" s="84"/>
    </row>
    <row r="109" spans="1:21">
      <c r="B109" s="103" t="s">
        <v>2</v>
      </c>
      <c r="C109" s="750"/>
      <c r="D109" s="46">
        <f>300*3</f>
        <v>900</v>
      </c>
      <c r="E109" s="742" t="s">
        <v>874</v>
      </c>
      <c r="G109" s="55"/>
      <c r="H109" s="22"/>
      <c r="I109" s="22"/>
      <c r="J109" s="22"/>
      <c r="K109" s="22"/>
      <c r="L109" s="84"/>
      <c r="T109" s="398"/>
      <c r="U109" s="50"/>
    </row>
    <row r="110" spans="1:21">
      <c r="B110" s="103" t="s">
        <v>444</v>
      </c>
      <c r="C110" s="750"/>
      <c r="D110" s="46">
        <v>261.57</v>
      </c>
      <c r="E110" s="742" t="s">
        <v>873</v>
      </c>
      <c r="G110" s="55"/>
      <c r="H110" s="55"/>
      <c r="I110" s="55"/>
      <c r="J110" s="55"/>
      <c r="K110" s="55"/>
      <c r="L110" s="199"/>
    </row>
    <row r="111" spans="1:21">
      <c r="B111" s="213" t="s">
        <v>9</v>
      </c>
      <c r="C111" s="750"/>
      <c r="D111" s="60">
        <f>D107+D108+D109+D110</f>
        <v>1376.57</v>
      </c>
      <c r="E111" s="742"/>
      <c r="G111" s="55"/>
      <c r="H111" s="22"/>
      <c r="I111" s="22"/>
      <c r="J111" s="22"/>
      <c r="K111" s="22"/>
      <c r="L111" s="84"/>
    </row>
    <row r="112" spans="1:21">
      <c r="B112" s="51"/>
      <c r="C112" s="752"/>
      <c r="D112" s="47"/>
      <c r="E112" s="742"/>
      <c r="G112" s="55"/>
      <c r="H112" s="22"/>
      <c r="I112" s="22"/>
      <c r="J112" s="22"/>
      <c r="K112" s="22"/>
      <c r="L112" s="84"/>
    </row>
    <row r="113" spans="2:12">
      <c r="B113" s="213" t="s">
        <v>134</v>
      </c>
      <c r="C113" s="750"/>
      <c r="D113" s="60">
        <f>D104+D111</f>
        <v>1827.42</v>
      </c>
      <c r="E113" s="742"/>
      <c r="G113" s="55"/>
      <c r="H113" s="22"/>
      <c r="I113" s="22"/>
      <c r="J113" s="22"/>
      <c r="K113" s="22"/>
      <c r="L113" s="84"/>
    </row>
    <row r="114" spans="2:12">
      <c r="B114" s="103"/>
      <c r="C114" s="750"/>
      <c r="D114" s="4"/>
      <c r="E114" s="742"/>
      <c r="G114" s="55"/>
      <c r="H114" s="4"/>
      <c r="I114" s="22"/>
      <c r="J114" s="4"/>
      <c r="K114" s="22"/>
      <c r="L114" s="84"/>
    </row>
    <row r="115" spans="2:12">
      <c r="B115" s="1020" t="s">
        <v>712</v>
      </c>
      <c r="C115" s="750"/>
      <c r="D115" s="394">
        <f>D94</f>
        <v>611.11111111111109</v>
      </c>
      <c r="E115" s="744" t="s">
        <v>660</v>
      </c>
      <c r="G115" s="55"/>
      <c r="H115" s="4"/>
      <c r="I115" s="22"/>
      <c r="J115" s="4"/>
      <c r="K115" s="22"/>
      <c r="L115" s="84"/>
    </row>
    <row r="116" spans="2:12">
      <c r="B116" s="212" t="s">
        <v>574</v>
      </c>
      <c r="C116" s="750"/>
      <c r="D116" s="82">
        <f>D113/D115</f>
        <v>2.9903236363636365</v>
      </c>
      <c r="E116" s="744" t="s">
        <v>872</v>
      </c>
      <c r="G116" s="55"/>
      <c r="H116" s="4"/>
      <c r="I116" s="22"/>
      <c r="J116" s="4"/>
      <c r="K116" s="22"/>
      <c r="L116" s="84"/>
    </row>
    <row r="117" spans="2:12" ht="16" customHeight="1">
      <c r="B117" s="730" t="s">
        <v>562</v>
      </c>
      <c r="C117" s="696"/>
      <c r="D117" s="696"/>
      <c r="E117" s="696"/>
      <c r="F117" s="696"/>
      <c r="G117" s="696"/>
      <c r="H117" s="696"/>
      <c r="I117" s="696"/>
      <c r="J117" s="696"/>
      <c r="K117" s="696"/>
      <c r="L117" s="701"/>
    </row>
    <row r="118" spans="2:12">
      <c r="B118" s="763" t="s">
        <v>572</v>
      </c>
      <c r="C118" s="731" t="s">
        <v>168</v>
      </c>
      <c r="D118" s="732" t="s">
        <v>169</v>
      </c>
      <c r="E118" s="731" t="s">
        <v>170</v>
      </c>
      <c r="F118" s="731" t="s">
        <v>171</v>
      </c>
      <c r="G118" s="736" t="s">
        <v>266</v>
      </c>
      <c r="H118" s="424"/>
      <c r="I118" s="424"/>
      <c r="J118" s="424"/>
      <c r="K118" s="424"/>
      <c r="L118" s="635"/>
    </row>
    <row r="119" spans="2:12">
      <c r="B119" s="640" t="s">
        <v>64</v>
      </c>
      <c r="C119" s="46">
        <f>$G$86</f>
        <v>0.12496363636363637</v>
      </c>
      <c r="D119" s="46">
        <f>$G$86</f>
        <v>0.12496363636363637</v>
      </c>
      <c r="E119" s="46">
        <f>$G$86</f>
        <v>0.12496363636363637</v>
      </c>
      <c r="F119" s="46">
        <f>$G$86</f>
        <v>0.12496363636363637</v>
      </c>
      <c r="G119" s="742"/>
      <c r="H119" s="22"/>
      <c r="I119" s="22"/>
      <c r="J119" s="22"/>
      <c r="K119" s="22"/>
      <c r="L119" s="84"/>
    </row>
    <row r="120" spans="2:12">
      <c r="B120" s="640" t="s">
        <v>66</v>
      </c>
      <c r="C120" s="46">
        <f>L90</f>
        <v>1.4928765990025803</v>
      </c>
      <c r="D120" s="46">
        <f>L91</f>
        <v>1.644206322124079</v>
      </c>
      <c r="E120" s="48">
        <f>L92</f>
        <v>2.0765769610553106</v>
      </c>
      <c r="F120" s="48">
        <f>L93</f>
        <v>2.6072136464933213</v>
      </c>
      <c r="G120" s="742"/>
      <c r="H120" s="22"/>
      <c r="I120" s="22"/>
      <c r="J120" s="22"/>
      <c r="K120" s="22"/>
      <c r="L120" s="84"/>
    </row>
    <row r="121" spans="2:12">
      <c r="B121" s="668" t="s">
        <v>173</v>
      </c>
      <c r="C121" s="48">
        <f>$D$116</f>
        <v>2.9903236363636365</v>
      </c>
      <c r="D121" s="48">
        <f>$D$116</f>
        <v>2.9903236363636365</v>
      </c>
      <c r="E121" s="48">
        <f>$D$116</f>
        <v>2.9903236363636365</v>
      </c>
      <c r="F121" s="48">
        <f>$D$116</f>
        <v>2.9903236363636365</v>
      </c>
      <c r="G121" s="742"/>
      <c r="H121" s="22"/>
      <c r="I121" s="22"/>
      <c r="J121" s="22"/>
      <c r="K121" s="22"/>
      <c r="L121" s="84"/>
    </row>
    <row r="122" spans="2:12">
      <c r="B122" s="668"/>
      <c r="C122" s="48"/>
      <c r="D122" s="48"/>
      <c r="E122" s="48"/>
      <c r="F122" s="48"/>
      <c r="G122" s="672"/>
      <c r="H122" s="22"/>
      <c r="I122" s="22"/>
      <c r="J122" s="22"/>
      <c r="K122" s="22"/>
      <c r="L122" s="84"/>
    </row>
    <row r="123" spans="2:12" ht="16" thickBot="1">
      <c r="B123" s="641" t="s">
        <v>575</v>
      </c>
      <c r="C123" s="105">
        <f>SUM(C119:C121)</f>
        <v>4.608163871729853</v>
      </c>
      <c r="D123" s="105">
        <f>SUM(D119:D121)</f>
        <v>4.7594935948513521</v>
      </c>
      <c r="E123" s="105">
        <f>SUM(E119:E121)</f>
        <v>5.1918642337825833</v>
      </c>
      <c r="F123" s="105">
        <f>SUM(F119:F121)</f>
        <v>5.722500919220594</v>
      </c>
      <c r="G123" s="743"/>
      <c r="H123" s="78"/>
      <c r="I123" s="78"/>
      <c r="J123" s="78"/>
      <c r="K123" s="78"/>
      <c r="L123" s="89"/>
    </row>
    <row r="124" spans="2:12" ht="16" thickBot="1"/>
    <row r="125" spans="2:12" s="28" customFormat="1" ht="16" thickBot="1">
      <c r="B125" s="622" t="s">
        <v>686</v>
      </c>
      <c r="C125" s="623"/>
      <c r="D125" s="623"/>
      <c r="E125" s="623"/>
      <c r="F125" s="858"/>
      <c r="G125" s="858"/>
      <c r="H125" s="858"/>
      <c r="I125" s="858"/>
      <c r="J125" s="858"/>
      <c r="K125" s="623"/>
      <c r="L125" s="624"/>
    </row>
    <row r="126" spans="2:12" ht="60">
      <c r="B126" s="863"/>
      <c r="C126" s="864" t="s">
        <v>438</v>
      </c>
      <c r="D126" s="865" t="s">
        <v>869</v>
      </c>
      <c r="E126" s="866" t="s">
        <v>870</v>
      </c>
      <c r="F126" s="867" t="s">
        <v>871</v>
      </c>
      <c r="G126" s="736" t="s">
        <v>266</v>
      </c>
      <c r="H126" s="754"/>
      <c r="I126" s="754"/>
      <c r="J126" s="868"/>
      <c r="K126" s="754"/>
      <c r="L126" s="869"/>
    </row>
    <row r="127" spans="2:12" ht="19" customHeight="1">
      <c r="B127" s="600" t="str">
        <f t="shared" ref="B127:B145" si="11">B8</f>
        <v>Broccoli</v>
      </c>
      <c r="C127" s="857">
        <v>128</v>
      </c>
      <c r="D127" s="138">
        <f>C127*1.1</f>
        <v>140.80000000000001</v>
      </c>
      <c r="E127" s="47">
        <v>6.99</v>
      </c>
      <c r="F127" s="860">
        <f>(E127/1000)*D127</f>
        <v>0.98419200000000018</v>
      </c>
      <c r="G127" s="1319" t="s">
        <v>688</v>
      </c>
      <c r="H127" s="1320"/>
      <c r="I127" s="1320"/>
      <c r="J127" s="1320"/>
      <c r="K127" s="1320"/>
      <c r="L127" s="1321"/>
    </row>
    <row r="128" spans="2:12">
      <c r="B128" s="600" t="str">
        <f t="shared" si="11"/>
        <v>Brussels Sprouts</v>
      </c>
      <c r="C128" s="857">
        <v>128</v>
      </c>
      <c r="D128" s="138">
        <f t="shared" ref="D128:D145" si="12">C128*1.1</f>
        <v>140.80000000000001</v>
      </c>
      <c r="E128" s="47">
        <v>27.95</v>
      </c>
      <c r="F128" s="860">
        <f t="shared" ref="F128:F145" si="13">(E128/1000)*D128</f>
        <v>3.9353600000000002</v>
      </c>
      <c r="G128" s="1322"/>
      <c r="H128" s="1323"/>
      <c r="I128" s="1323"/>
      <c r="J128" s="1323"/>
      <c r="K128" s="1323"/>
      <c r="L128" s="1324"/>
    </row>
    <row r="129" spans="2:12">
      <c r="B129" s="600" t="str">
        <f t="shared" si="11"/>
        <v>Cabbage</v>
      </c>
      <c r="C129" s="857">
        <v>128</v>
      </c>
      <c r="D129" s="138">
        <f t="shared" si="12"/>
        <v>140.80000000000001</v>
      </c>
      <c r="E129" s="47">
        <v>20.02</v>
      </c>
      <c r="F129" s="860">
        <f t="shared" si="13"/>
        <v>2.818816</v>
      </c>
      <c r="G129" s="22"/>
      <c r="H129" s="22"/>
      <c r="I129" s="22"/>
      <c r="J129" s="22"/>
      <c r="K129" s="22"/>
      <c r="L129" s="84"/>
    </row>
    <row r="130" spans="2:12">
      <c r="B130" s="600" t="str">
        <f t="shared" si="11"/>
        <v>Cauliflower</v>
      </c>
      <c r="C130" s="857">
        <v>128</v>
      </c>
      <c r="D130" s="138">
        <f t="shared" si="12"/>
        <v>140.80000000000001</v>
      </c>
      <c r="E130" s="47">
        <v>34.08</v>
      </c>
      <c r="F130" s="860">
        <f t="shared" si="13"/>
        <v>4.7984640000000001</v>
      </c>
      <c r="G130" s="22"/>
      <c r="H130" s="22"/>
      <c r="I130" s="22"/>
      <c r="J130" s="22"/>
      <c r="K130" s="22"/>
      <c r="L130" s="84"/>
    </row>
    <row r="131" spans="2:12">
      <c r="B131" s="600" t="str">
        <f t="shared" si="11"/>
        <v>Cucumber</v>
      </c>
      <c r="C131" s="857">
        <v>72</v>
      </c>
      <c r="D131" s="138">
        <f t="shared" si="12"/>
        <v>79.2</v>
      </c>
      <c r="E131" s="47">
        <f>AVERAGE(9.3,5.55,10.9, 22.95)</f>
        <v>12.175000000000001</v>
      </c>
      <c r="F131" s="860">
        <f t="shared" si="13"/>
        <v>0.96426000000000001</v>
      </c>
      <c r="G131" s="22"/>
      <c r="H131" s="22"/>
      <c r="I131" s="22"/>
      <c r="J131" s="22"/>
      <c r="K131" s="22"/>
      <c r="L131" s="84"/>
    </row>
    <row r="132" spans="2:12">
      <c r="B132" s="600" t="str">
        <f t="shared" si="11"/>
        <v>Eggplant</v>
      </c>
      <c r="C132" s="857">
        <v>50</v>
      </c>
      <c r="D132" s="138">
        <f>C132*1.1</f>
        <v>55.000000000000007</v>
      </c>
      <c r="E132" s="47">
        <f>AVERAGE(25.45,48.9,32.7,32.05)</f>
        <v>34.774999999999999</v>
      </c>
      <c r="F132" s="860">
        <f t="shared" si="13"/>
        <v>1.9126250000000002</v>
      </c>
      <c r="G132" s="22"/>
      <c r="H132" s="22"/>
      <c r="I132" s="22"/>
      <c r="J132" s="22"/>
      <c r="K132" s="22"/>
      <c r="L132" s="84"/>
    </row>
    <row r="133" spans="2:12">
      <c r="B133" s="600" t="str">
        <f t="shared" si="11"/>
        <v>Greens, Kale/Collards</v>
      </c>
      <c r="C133" s="857">
        <v>128</v>
      </c>
      <c r="D133" s="138">
        <f t="shared" si="12"/>
        <v>140.80000000000001</v>
      </c>
      <c r="E133" s="47">
        <f>AVERAGE(23.9,13,13.25,11.25,6.5)</f>
        <v>13.580000000000002</v>
      </c>
      <c r="F133" s="860">
        <f t="shared" si="13"/>
        <v>1.9120640000000004</v>
      </c>
      <c r="G133" s="22"/>
      <c r="H133" s="22"/>
      <c r="I133" s="22"/>
      <c r="J133" s="22"/>
      <c r="K133" s="22"/>
      <c r="L133" s="84"/>
    </row>
    <row r="134" spans="2:12">
      <c r="B134" s="600" t="str">
        <f t="shared" si="11"/>
        <v>Kohlrabi</v>
      </c>
      <c r="C134" s="857">
        <v>128</v>
      </c>
      <c r="D134" s="138">
        <f t="shared" si="12"/>
        <v>140.80000000000001</v>
      </c>
      <c r="E134" s="47">
        <f>AVERAGE(5.95,15.35)</f>
        <v>10.65</v>
      </c>
      <c r="F134" s="860">
        <f t="shared" si="13"/>
        <v>1.4995200000000002</v>
      </c>
      <c r="G134" s="22"/>
      <c r="H134" s="22"/>
      <c r="I134" s="22"/>
      <c r="J134" s="22"/>
      <c r="K134" s="22"/>
      <c r="L134" s="84"/>
    </row>
    <row r="135" spans="2:12">
      <c r="B135" s="600" t="str">
        <f t="shared" si="11"/>
        <v>Leek</v>
      </c>
      <c r="C135" s="857">
        <v>162</v>
      </c>
      <c r="D135" s="138">
        <f t="shared" si="12"/>
        <v>178.20000000000002</v>
      </c>
      <c r="E135" s="47">
        <f>AVERAGE(8.6,8.6,32.9)</f>
        <v>16.7</v>
      </c>
      <c r="F135" s="860">
        <f t="shared" si="13"/>
        <v>2.97594</v>
      </c>
      <c r="G135" s="22"/>
      <c r="H135" s="22"/>
      <c r="I135" s="22"/>
      <c r="J135" s="22"/>
      <c r="K135" s="22"/>
      <c r="L135" s="84"/>
    </row>
    <row r="136" spans="2:12">
      <c r="B136" s="600" t="str">
        <f t="shared" si="11"/>
        <v>Lettuce Heads</v>
      </c>
      <c r="C136" s="857">
        <v>128</v>
      </c>
      <c r="D136" s="138">
        <f t="shared" si="12"/>
        <v>140.80000000000001</v>
      </c>
      <c r="E136" s="47">
        <f>AVERAGE(2.93,4.72,3.34)</f>
        <v>3.6633333333333336</v>
      </c>
      <c r="F136" s="860">
        <f t="shared" si="13"/>
        <v>0.51579733333333344</v>
      </c>
      <c r="G136" s="22"/>
      <c r="H136" s="22"/>
      <c r="I136" s="22"/>
      <c r="J136" s="22"/>
      <c r="K136" s="22"/>
      <c r="L136" s="84"/>
    </row>
    <row r="137" spans="2:12">
      <c r="B137" s="600" t="str">
        <f t="shared" si="11"/>
        <v>Muskmelon</v>
      </c>
      <c r="C137" s="857">
        <v>72</v>
      </c>
      <c r="D137" s="138">
        <f t="shared" si="12"/>
        <v>79.2</v>
      </c>
      <c r="E137" s="47">
        <f>AVERAGE(69.75,21,73.65,34.95)</f>
        <v>49.837500000000006</v>
      </c>
      <c r="F137" s="860">
        <f t="shared" si="13"/>
        <v>3.9471300000000005</v>
      </c>
      <c r="G137" s="22"/>
      <c r="H137" s="22"/>
      <c r="I137" s="22"/>
      <c r="J137" s="22"/>
      <c r="K137" s="22"/>
      <c r="L137" s="84"/>
    </row>
    <row r="138" spans="2:12">
      <c r="B138" s="600" t="str">
        <f t="shared" si="11"/>
        <v>Onion, Bulb</v>
      </c>
      <c r="C138" s="857">
        <v>162</v>
      </c>
      <c r="D138" s="138">
        <f t="shared" si="12"/>
        <v>178.20000000000002</v>
      </c>
      <c r="E138" s="47">
        <f>AVERAGE(4.5,5.6,6.45,6.15)</f>
        <v>5.6750000000000007</v>
      </c>
      <c r="F138" s="860">
        <f t="shared" si="13"/>
        <v>1.0112850000000002</v>
      </c>
      <c r="G138" s="22"/>
      <c r="H138" s="22"/>
      <c r="I138" s="22"/>
      <c r="J138" s="22"/>
      <c r="K138" s="22"/>
      <c r="L138" s="84"/>
    </row>
    <row r="139" spans="2:12">
      <c r="B139" s="600" t="str">
        <f t="shared" si="11"/>
        <v>Peppers</v>
      </c>
      <c r="C139" s="857">
        <v>50</v>
      </c>
      <c r="D139" s="138">
        <f t="shared" si="12"/>
        <v>55.000000000000007</v>
      </c>
      <c r="E139" s="47">
        <f>AVERAGE(87,58,58,69,77)</f>
        <v>69.8</v>
      </c>
      <c r="F139" s="860">
        <f t="shared" si="13"/>
        <v>3.8390000000000004</v>
      </c>
      <c r="G139" s="22"/>
      <c r="H139" s="22"/>
      <c r="I139" s="22"/>
      <c r="J139" s="22"/>
      <c r="K139" s="22"/>
      <c r="L139" s="84"/>
    </row>
    <row r="140" spans="2:12">
      <c r="B140" s="600" t="str">
        <f t="shared" si="11"/>
        <v>Scallions</v>
      </c>
      <c r="C140" s="857">
        <v>162</v>
      </c>
      <c r="D140" s="138">
        <f t="shared" si="12"/>
        <v>178.20000000000002</v>
      </c>
      <c r="E140" s="47">
        <v>4.75</v>
      </c>
      <c r="F140" s="860">
        <f t="shared" si="13"/>
        <v>0.84645000000000004</v>
      </c>
      <c r="G140" s="22"/>
      <c r="H140" s="22"/>
      <c r="I140" s="22"/>
      <c r="J140" s="22"/>
      <c r="K140" s="22"/>
      <c r="L140" s="84"/>
    </row>
    <row r="141" spans="2:12">
      <c r="B141" s="600" t="str">
        <f t="shared" si="11"/>
        <v>Squash, Summer</v>
      </c>
      <c r="C141" s="857">
        <v>72</v>
      </c>
      <c r="D141" s="138">
        <f t="shared" si="12"/>
        <v>79.2</v>
      </c>
      <c r="E141" s="47">
        <f>AVERAGE(35.95,27.5,58.95,90.95)</f>
        <v>53.337500000000006</v>
      </c>
      <c r="F141" s="860">
        <f t="shared" si="13"/>
        <v>4.2243300000000001</v>
      </c>
      <c r="G141" s="22"/>
      <c r="H141" s="22"/>
      <c r="I141" s="22"/>
      <c r="J141" s="22"/>
      <c r="K141" s="22"/>
      <c r="L141" s="84"/>
    </row>
    <row r="142" spans="2:12">
      <c r="B142" s="600" t="str">
        <f t="shared" si="11"/>
        <v>Squash, Winter</v>
      </c>
      <c r="C142" s="857">
        <v>72</v>
      </c>
      <c r="D142" s="138">
        <f t="shared" si="12"/>
        <v>79.2</v>
      </c>
      <c r="E142" s="47">
        <f>AVERAGE(44,35.7,10,50,60)</f>
        <v>39.94</v>
      </c>
      <c r="F142" s="860">
        <f t="shared" si="13"/>
        <v>3.1632479999999998</v>
      </c>
      <c r="G142" s="22"/>
      <c r="H142" s="22"/>
      <c r="I142" s="22"/>
      <c r="J142" s="22"/>
      <c r="K142" s="22"/>
      <c r="L142" s="84"/>
    </row>
    <row r="143" spans="2:12">
      <c r="B143" s="600" t="str">
        <f t="shared" si="11"/>
        <v>Tomatoes</v>
      </c>
      <c r="C143" s="857">
        <v>50</v>
      </c>
      <c r="D143" s="138">
        <f t="shared" si="12"/>
        <v>55.000000000000007</v>
      </c>
      <c r="E143" s="47">
        <f>AVERAGE(50.45, 96.9, 11.2)</f>
        <v>52.85</v>
      </c>
      <c r="F143" s="860">
        <f t="shared" si="13"/>
        <v>2.9067500000000006</v>
      </c>
      <c r="G143" s="22"/>
      <c r="H143" s="22"/>
      <c r="I143" s="22"/>
      <c r="J143" s="22"/>
      <c r="K143" s="22"/>
      <c r="L143" s="84"/>
    </row>
    <row r="144" spans="2:12">
      <c r="B144" s="600" t="str">
        <f t="shared" si="11"/>
        <v>Watermelon</v>
      </c>
      <c r="C144" s="857">
        <v>72</v>
      </c>
      <c r="D144" s="138">
        <f t="shared" si="12"/>
        <v>79.2</v>
      </c>
      <c r="E144" s="47">
        <f>AVERAGE(7.85,5.55,30.15, 28.85)</f>
        <v>18.100000000000001</v>
      </c>
      <c r="F144" s="860">
        <f t="shared" si="13"/>
        <v>1.4335200000000001</v>
      </c>
      <c r="G144" s="22"/>
      <c r="H144" s="22"/>
      <c r="I144" s="22"/>
      <c r="J144" s="22"/>
      <c r="K144" s="22"/>
      <c r="L144" s="84"/>
    </row>
    <row r="145" spans="2:12" ht="16" thickBot="1">
      <c r="B145" s="601" t="str">
        <f t="shared" si="11"/>
        <v>You-Pick</v>
      </c>
      <c r="C145" s="861">
        <v>50</v>
      </c>
      <c r="D145" s="859">
        <f t="shared" si="12"/>
        <v>55.000000000000007</v>
      </c>
      <c r="E145" s="100">
        <f>AVERAGE(E127:E144)</f>
        <v>26.381851851851856</v>
      </c>
      <c r="F145" s="862">
        <f t="shared" si="13"/>
        <v>1.4510018518518522</v>
      </c>
      <c r="G145" s="78"/>
      <c r="H145" s="78"/>
      <c r="I145" s="78"/>
      <c r="J145" s="78"/>
      <c r="K145" s="78"/>
      <c r="L145" s="89"/>
    </row>
    <row r="146" spans="2:12" s="22" customFormat="1"/>
    <row r="147" spans="2:12" s="22" customFormat="1"/>
  </sheetData>
  <sheetProtection sheet="1" objects="1" scenarios="1"/>
  <mergeCells count="3">
    <mergeCell ref="I2:J2"/>
    <mergeCell ref="G127:L128"/>
    <mergeCell ref="B4:F4"/>
  </mergeCells>
  <phoneticPr fontId="16" type="noConversion"/>
  <hyperlinks>
    <hyperlink ref="I2" location="'Workbook Index'!A1" display="Back to Workbook Index"/>
    <hyperlink ref="J2" location="'Workbook Index'!A1" display="'Workbook Index'!A1"/>
  </hyperlinks>
  <pageMargins left="0.5" right="0.5" top="0.75" bottom="0.75" header="0.5" footer="0.5"/>
  <pageSetup paperSize="3" orientation="portrait" horizontalDpi="4294967293" verticalDpi="429496729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baseColWidth="10" defaultRowHeight="15" x14ac:dyDescent="0"/>
  <cols>
    <col min="1" max="1" width="2.85546875" style="5" customWidth="1"/>
    <col min="2" max="2" width="40.5703125" style="5" customWidth="1"/>
    <col min="3" max="3" width="11.7109375" style="5" customWidth="1"/>
    <col min="4" max="4" width="12.42578125" style="5" customWidth="1"/>
    <col min="5" max="5" width="15.42578125" style="5" customWidth="1"/>
    <col min="6" max="6" width="18.42578125" style="5" customWidth="1"/>
    <col min="7" max="7" width="17.42578125" style="5" customWidth="1"/>
    <col min="8" max="8" width="27.42578125" style="5" customWidth="1"/>
    <col min="9" max="9" width="15.42578125" style="5" customWidth="1"/>
    <col min="10" max="11" width="15.5703125" style="5" customWidth="1"/>
    <col min="12" max="12" width="19.28515625" style="5" customWidth="1"/>
    <col min="13" max="13" width="16.7109375" style="5" customWidth="1"/>
    <col min="14" max="16384" width="10.7109375" style="5"/>
  </cols>
  <sheetData>
    <row r="1" spans="1:21" ht="16" thickBot="1"/>
    <row r="2" spans="1:21" ht="19" thickBot="1">
      <c r="A2" s="22"/>
      <c r="B2" s="42" t="s">
        <v>628</v>
      </c>
      <c r="C2" s="216"/>
      <c r="D2" s="55"/>
      <c r="E2" s="563"/>
      <c r="F2" s="1263" t="s">
        <v>512</v>
      </c>
      <c r="G2" s="1264"/>
      <c r="H2" s="564"/>
      <c r="I2" s="28"/>
      <c r="J2" s="28"/>
      <c r="K2" s="28"/>
      <c r="L2" s="28"/>
      <c r="M2" s="28"/>
      <c r="N2" s="28"/>
    </row>
    <row r="3" spans="1:21" s="28" customFormat="1" ht="18">
      <c r="A3" s="55"/>
      <c r="B3" s="565"/>
      <c r="C3" s="216"/>
      <c r="D3" s="55"/>
      <c r="E3" s="567"/>
      <c r="F3" s="1034"/>
      <c r="G3" s="571"/>
      <c r="H3" s="569"/>
    </row>
    <row r="4" spans="1:21" s="28" customFormat="1" ht="62" customHeight="1">
      <c r="A4" s="55"/>
      <c r="B4" s="1262" t="s">
        <v>910</v>
      </c>
      <c r="C4" s="1262"/>
      <c r="D4" s="1262"/>
      <c r="E4" s="1262"/>
      <c r="F4" s="1262"/>
      <c r="G4" s="1034"/>
      <c r="H4" s="569"/>
    </row>
    <row r="5" spans="1:21" s="28" customFormat="1" ht="18">
      <c r="A5" s="55"/>
      <c r="B5" s="565"/>
      <c r="C5" s="216"/>
      <c r="D5" s="55"/>
      <c r="E5" s="567"/>
      <c r="F5" s="1034"/>
      <c r="G5" s="1034"/>
      <c r="H5" s="569"/>
    </row>
    <row r="6" spans="1:21" s="253" customFormat="1" ht="25" customHeight="1">
      <c r="A6" s="256"/>
      <c r="B6" s="1213" t="s">
        <v>535</v>
      </c>
      <c r="C6" s="1213"/>
      <c r="D6" s="1213"/>
      <c r="E6" s="1213"/>
      <c r="F6" s="1213"/>
      <c r="G6" s="876"/>
      <c r="H6" s="259"/>
      <c r="I6" s="254"/>
      <c r="J6" s="254"/>
      <c r="K6" s="254"/>
      <c r="L6" s="254"/>
      <c r="U6" s="255"/>
    </row>
    <row r="7" spans="1:21" s="43" customFormat="1">
      <c r="A7" s="57"/>
      <c r="B7" s="1222" t="s">
        <v>450</v>
      </c>
      <c r="C7" s="1222"/>
      <c r="D7" s="1222"/>
      <c r="E7" s="1222"/>
      <c r="F7" s="1237"/>
      <c r="G7" s="877"/>
      <c r="H7" s="217"/>
      <c r="I7" s="69"/>
      <c r="J7" s="69"/>
      <c r="K7" s="69"/>
      <c r="U7" s="157"/>
    </row>
    <row r="8" spans="1:21">
      <c r="A8" s="22"/>
      <c r="B8" s="1199" t="s">
        <v>457</v>
      </c>
      <c r="C8" s="1199"/>
      <c r="D8" s="1199"/>
      <c r="E8" s="1235">
        <f>E87</f>
        <v>32.773534158149545</v>
      </c>
      <c r="F8" s="1238" t="s">
        <v>536</v>
      </c>
      <c r="G8" s="55"/>
      <c r="H8" s="55"/>
      <c r="I8" s="55"/>
      <c r="J8" s="55"/>
      <c r="K8" s="55"/>
      <c r="L8" s="28"/>
      <c r="M8" s="28"/>
      <c r="N8" s="28"/>
    </row>
    <row r="9" spans="1:21">
      <c r="A9" s="22"/>
      <c r="B9" s="22" t="s">
        <v>458</v>
      </c>
      <c r="C9" s="22"/>
      <c r="D9" s="22"/>
      <c r="E9" s="47">
        <f>E96</f>
        <v>50.735370890410955</v>
      </c>
      <c r="F9" s="56" t="s">
        <v>537</v>
      </c>
      <c r="G9" s="55"/>
      <c r="H9" s="55"/>
      <c r="I9" s="55"/>
      <c r="J9" s="55"/>
      <c r="K9" s="55"/>
      <c r="L9" s="28"/>
      <c r="M9" s="28"/>
      <c r="N9" s="28"/>
    </row>
    <row r="10" spans="1:21">
      <c r="A10" s="22"/>
      <c r="B10" s="22"/>
      <c r="C10" s="22"/>
      <c r="D10" s="22"/>
      <c r="E10" s="47"/>
      <c r="F10" s="56"/>
      <c r="G10" s="55"/>
      <c r="H10" s="55"/>
      <c r="I10" s="55"/>
      <c r="J10" s="55"/>
      <c r="K10" s="55"/>
      <c r="L10" s="28"/>
      <c r="M10" s="28"/>
      <c r="N10" s="28"/>
    </row>
    <row r="11" spans="1:21">
      <c r="A11" s="22"/>
      <c r="B11" s="69" t="s">
        <v>689</v>
      </c>
      <c r="C11" s="69"/>
      <c r="D11" s="69"/>
      <c r="E11" s="69"/>
      <c r="F11" s="1222"/>
      <c r="H11" s="94"/>
      <c r="I11" s="94"/>
      <c r="J11" s="55"/>
      <c r="K11" s="55"/>
      <c r="L11" s="28"/>
      <c r="M11" s="28"/>
    </row>
    <row r="12" spans="1:21" ht="51" customHeight="1">
      <c r="A12" s="22"/>
      <c r="B12" s="1239" t="s">
        <v>131</v>
      </c>
      <c r="C12" s="627" t="s">
        <v>690</v>
      </c>
      <c r="D12" s="544" t="s">
        <v>587</v>
      </c>
      <c r="E12" s="544" t="s">
        <v>291</v>
      </c>
      <c r="F12" s="544" t="s">
        <v>292</v>
      </c>
      <c r="G12" s="96"/>
      <c r="H12" s="94"/>
      <c r="I12" s="55"/>
      <c r="J12" s="55"/>
      <c r="K12" s="28"/>
      <c r="L12" s="28"/>
    </row>
    <row r="13" spans="1:21">
      <c r="A13" s="22"/>
      <c r="B13" s="1199" t="str">
        <f>'Workbook Index'!B26</f>
        <v>Beans, Green</v>
      </c>
      <c r="C13" s="1240">
        <v>15</v>
      </c>
      <c r="D13" s="1241"/>
      <c r="E13" s="1199"/>
      <c r="F13" s="1238"/>
      <c r="G13" s="55"/>
      <c r="H13" s="83"/>
      <c r="I13" s="55"/>
      <c r="J13" s="55"/>
      <c r="K13" s="28"/>
      <c r="L13" s="28"/>
    </row>
    <row r="14" spans="1:21">
      <c r="A14" s="22"/>
      <c r="B14" s="55" t="str">
        <f>'Workbook Index'!B27</f>
        <v>Beets</v>
      </c>
      <c r="C14" s="98">
        <v>12</v>
      </c>
      <c r="D14" s="71"/>
      <c r="E14" s="22"/>
      <c r="F14" s="1236"/>
      <c r="G14" s="55"/>
      <c r="H14" s="83"/>
      <c r="I14" s="55"/>
      <c r="J14" s="55"/>
      <c r="K14" s="28"/>
      <c r="L14" s="28"/>
    </row>
    <row r="15" spans="1:21">
      <c r="A15" s="22"/>
      <c r="B15" s="1199" t="str">
        <f>'Workbook Index'!B28</f>
        <v>Broccoli</v>
      </c>
      <c r="C15" s="1240">
        <v>12</v>
      </c>
      <c r="D15" s="1241"/>
      <c r="E15" s="1199"/>
      <c r="F15" s="1238"/>
      <c r="G15" s="22"/>
      <c r="H15" s="22"/>
      <c r="I15" s="22"/>
      <c r="J15" s="22"/>
      <c r="K15" s="28"/>
      <c r="L15" s="28"/>
    </row>
    <row r="16" spans="1:21">
      <c r="A16" s="22"/>
      <c r="B16" s="55" t="str">
        <f>'Workbook Index'!B29</f>
        <v>Brussels Sprouts</v>
      </c>
      <c r="C16" s="98">
        <v>12</v>
      </c>
      <c r="D16" s="71"/>
      <c r="E16" s="22"/>
      <c r="F16" s="1236"/>
      <c r="G16" s="22"/>
      <c r="H16" s="22"/>
      <c r="I16" s="22"/>
      <c r="J16" s="22"/>
      <c r="K16" s="28"/>
      <c r="L16" s="28"/>
    </row>
    <row r="17" spans="1:12">
      <c r="A17" s="22"/>
      <c r="B17" s="1199" t="str">
        <f>'Workbook Index'!B30</f>
        <v>Cabbage</v>
      </c>
      <c r="C17" s="1240">
        <v>12</v>
      </c>
      <c r="D17" s="1241"/>
      <c r="E17" s="1199"/>
      <c r="F17" s="1238"/>
      <c r="G17" s="22"/>
      <c r="H17" s="22"/>
      <c r="I17" s="22"/>
      <c r="J17" s="22"/>
      <c r="K17" s="28"/>
      <c r="L17" s="28"/>
    </row>
    <row r="18" spans="1:12">
      <c r="A18" s="22"/>
      <c r="B18" s="55" t="str">
        <f>'Workbook Index'!B31</f>
        <v>Carrots</v>
      </c>
      <c r="C18" s="98">
        <v>12</v>
      </c>
      <c r="D18" s="71"/>
      <c r="E18" s="22"/>
      <c r="F18" s="1236"/>
      <c r="G18" s="22"/>
      <c r="H18" s="22"/>
      <c r="I18" s="22"/>
      <c r="J18" s="22"/>
      <c r="K18" s="28"/>
      <c r="L18" s="28"/>
    </row>
    <row r="19" spans="1:12">
      <c r="A19" s="22"/>
      <c r="B19" s="1199" t="str">
        <f>'Workbook Index'!B32</f>
        <v>Cauliflower</v>
      </c>
      <c r="C19" s="1240">
        <v>12</v>
      </c>
      <c r="D19" s="1241"/>
      <c r="E19" s="1199"/>
      <c r="F19" s="1238"/>
      <c r="G19" s="22"/>
      <c r="H19" s="22"/>
      <c r="I19" s="22"/>
      <c r="J19" s="22"/>
      <c r="K19" s="28"/>
      <c r="L19" s="28"/>
    </row>
    <row r="20" spans="1:12">
      <c r="A20" s="22"/>
      <c r="B20" s="55" t="str">
        <f>'Workbook Index'!B33</f>
        <v>Chard, Swiss</v>
      </c>
      <c r="C20" s="98">
        <v>12</v>
      </c>
      <c r="D20" s="71"/>
      <c r="E20" s="22"/>
      <c r="F20" s="1236"/>
      <c r="G20" s="22"/>
      <c r="H20" s="22"/>
      <c r="I20" s="22"/>
      <c r="J20" s="22"/>
      <c r="K20" s="28"/>
      <c r="L20" s="28"/>
    </row>
    <row r="21" spans="1:12">
      <c r="A21" s="22"/>
      <c r="B21" s="1199" t="str">
        <f>'Workbook Index'!B34</f>
        <v>Corn, Sweet</v>
      </c>
      <c r="C21" s="1240">
        <v>15</v>
      </c>
      <c r="D21" s="1241"/>
      <c r="E21" s="1199"/>
      <c r="F21" s="1238"/>
      <c r="G21" s="22"/>
      <c r="H21" s="22"/>
      <c r="I21" s="22"/>
      <c r="J21" s="22"/>
      <c r="K21" s="28"/>
      <c r="L21" s="28"/>
    </row>
    <row r="22" spans="1:12">
      <c r="A22" s="22"/>
      <c r="B22" s="55" t="str">
        <f>'Workbook Index'!B35</f>
        <v>Cucumbers</v>
      </c>
      <c r="C22" s="98">
        <v>10</v>
      </c>
      <c r="D22" s="71"/>
      <c r="E22" s="22"/>
      <c r="F22" s="1236"/>
      <c r="G22" s="22"/>
      <c r="H22" s="22"/>
      <c r="I22" s="22"/>
      <c r="J22" s="22"/>
      <c r="L22" s="28"/>
    </row>
    <row r="23" spans="1:12" ht="15" customHeight="1">
      <c r="A23" s="22"/>
      <c r="B23" s="1199" t="str">
        <f>'Workbook Index'!B36</f>
        <v>Eggplant</v>
      </c>
      <c r="C23" s="1240">
        <v>25</v>
      </c>
      <c r="D23" s="1241">
        <v>2</v>
      </c>
      <c r="E23" s="1199">
        <v>2</v>
      </c>
      <c r="F23" s="1238">
        <v>2</v>
      </c>
      <c r="G23" s="22"/>
      <c r="H23" s="22"/>
      <c r="I23" s="22"/>
      <c r="J23" s="22"/>
    </row>
    <row r="24" spans="1:12">
      <c r="A24" s="22"/>
      <c r="B24" s="55" t="str">
        <f>'Workbook Index'!B37</f>
        <v>Garlic</v>
      </c>
      <c r="C24" s="98">
        <v>15</v>
      </c>
      <c r="D24" s="71"/>
      <c r="E24" s="22"/>
      <c r="F24" s="1236"/>
      <c r="G24" s="22"/>
      <c r="H24" s="22"/>
      <c r="I24" s="22"/>
      <c r="J24" s="22"/>
    </row>
    <row r="25" spans="1:12" ht="15" customHeight="1">
      <c r="A25" s="22"/>
      <c r="B25" s="1199" t="str">
        <f>'Workbook Index'!B38</f>
        <v>Greens, Kale/Collards</v>
      </c>
      <c r="C25" s="1240">
        <v>12</v>
      </c>
      <c r="D25" s="1241"/>
      <c r="E25" s="1199"/>
      <c r="F25" s="1238"/>
      <c r="G25" s="22"/>
      <c r="H25" s="22"/>
      <c r="I25" s="22"/>
      <c r="J25" s="22"/>
    </row>
    <row r="26" spans="1:12">
      <c r="A26" s="22"/>
      <c r="B26" s="55" t="str">
        <f>'Workbook Index'!B39</f>
        <v>Greens, Salad</v>
      </c>
      <c r="C26" s="98">
        <v>12</v>
      </c>
      <c r="D26" s="71"/>
      <c r="E26" s="22"/>
      <c r="F26" s="1236"/>
      <c r="G26" s="22"/>
      <c r="H26" s="22"/>
      <c r="I26" s="22"/>
      <c r="J26" s="22"/>
    </row>
    <row r="27" spans="1:12" ht="15" customHeight="1">
      <c r="A27" s="22"/>
      <c r="B27" s="1199" t="str">
        <f>'Workbook Index'!B40</f>
        <v>Herbs, Summer Annual</v>
      </c>
      <c r="C27" s="1240">
        <v>12</v>
      </c>
      <c r="D27" s="1241"/>
      <c r="E27" s="1199"/>
      <c r="F27" s="1238"/>
      <c r="G27" s="22"/>
      <c r="H27" s="22"/>
      <c r="I27" s="22"/>
      <c r="J27" s="22"/>
    </row>
    <row r="28" spans="1:12" ht="15" customHeight="1">
      <c r="A28" s="22"/>
      <c r="B28" s="55" t="str">
        <f>'Workbook Index'!B41</f>
        <v>Kohlrabi</v>
      </c>
      <c r="C28" s="98">
        <v>12</v>
      </c>
      <c r="D28" s="71"/>
      <c r="E28" s="22"/>
      <c r="F28" s="1236"/>
      <c r="G28" s="22"/>
      <c r="H28" s="22"/>
      <c r="I28" s="22"/>
      <c r="J28" s="22"/>
    </row>
    <row r="29" spans="1:12" ht="15" customHeight="1">
      <c r="A29" s="22"/>
      <c r="B29" s="1199" t="str">
        <f>'Workbook Index'!B42</f>
        <v>Leeks</v>
      </c>
      <c r="C29" s="1240">
        <v>15</v>
      </c>
      <c r="D29" s="1241"/>
      <c r="E29" s="1199"/>
      <c r="F29" s="1238"/>
      <c r="G29" s="22"/>
      <c r="H29" s="22"/>
      <c r="I29" s="22"/>
      <c r="J29" s="22"/>
    </row>
    <row r="30" spans="1:12" ht="15" customHeight="1">
      <c r="A30" s="22"/>
      <c r="B30" s="55" t="str">
        <f>'Workbook Index'!B43</f>
        <v>Lettuce, Head</v>
      </c>
      <c r="C30" s="98">
        <v>12</v>
      </c>
      <c r="D30" s="71"/>
      <c r="E30" s="22"/>
      <c r="F30" s="1236"/>
    </row>
    <row r="31" spans="1:12" ht="15" customHeight="1">
      <c r="A31" s="22"/>
      <c r="B31" s="1199" t="str">
        <f>'Workbook Index'!B44</f>
        <v>Muskmelon (Cantaloupe)</v>
      </c>
      <c r="C31" s="1240">
        <v>15</v>
      </c>
      <c r="D31" s="1241">
        <v>0</v>
      </c>
      <c r="E31" s="1199">
        <v>2</v>
      </c>
      <c r="F31" s="1238">
        <v>2</v>
      </c>
    </row>
    <row r="32" spans="1:12" ht="15" customHeight="1">
      <c r="A32" s="22"/>
      <c r="B32" s="55" t="str">
        <f>'Workbook Index'!B45</f>
        <v>Onions, Bulb</v>
      </c>
      <c r="C32" s="98">
        <v>15</v>
      </c>
      <c r="D32" s="71"/>
      <c r="E32" s="22"/>
      <c r="F32" s="1236"/>
    </row>
    <row r="33" spans="1:12" ht="15" customHeight="1">
      <c r="A33" s="22"/>
      <c r="B33" s="1199" t="str">
        <f>'Workbook Index'!B46</f>
        <v>Peppers</v>
      </c>
      <c r="C33" s="1240">
        <v>25</v>
      </c>
      <c r="D33" s="1241">
        <v>2</v>
      </c>
      <c r="E33" s="1199">
        <v>2</v>
      </c>
      <c r="F33" s="1238">
        <v>2</v>
      </c>
    </row>
    <row r="34" spans="1:12" ht="15" customHeight="1">
      <c r="A34" s="22"/>
      <c r="B34" s="55" t="str">
        <f>'Workbook Index'!B47</f>
        <v>Potatoes</v>
      </c>
      <c r="C34" s="98">
        <v>15</v>
      </c>
      <c r="D34" s="71">
        <v>2</v>
      </c>
      <c r="E34" s="22">
        <v>2</v>
      </c>
      <c r="F34" s="1236">
        <v>2</v>
      </c>
    </row>
    <row r="35" spans="1:12" ht="15" customHeight="1">
      <c r="A35" s="22"/>
      <c r="B35" s="1199" t="str">
        <f>'Workbook Index'!B48</f>
        <v>Potatoes, Sweet</v>
      </c>
      <c r="C35" s="1240">
        <v>25</v>
      </c>
      <c r="D35" s="1241">
        <v>1</v>
      </c>
      <c r="E35" s="1199">
        <v>0</v>
      </c>
      <c r="F35" s="1238">
        <v>1</v>
      </c>
    </row>
    <row r="36" spans="1:12" ht="15" customHeight="1">
      <c r="A36" s="22"/>
      <c r="B36" s="55" t="str">
        <f>'Workbook Index'!B49</f>
        <v>Roots, Radish/Turnip</v>
      </c>
      <c r="C36" s="98">
        <v>12</v>
      </c>
      <c r="D36" s="71"/>
      <c r="E36" s="22"/>
      <c r="F36" s="1236"/>
    </row>
    <row r="37" spans="1:12" ht="15" customHeight="1">
      <c r="A37" s="22"/>
      <c r="B37" s="1199" t="str">
        <f>'Workbook Index'!B50</f>
        <v>Scallions</v>
      </c>
      <c r="C37" s="1240">
        <v>12</v>
      </c>
      <c r="D37" s="1241"/>
      <c r="E37" s="1199"/>
      <c r="F37" s="1238"/>
    </row>
    <row r="38" spans="1:12" ht="15" customHeight="1">
      <c r="A38" s="22"/>
      <c r="B38" s="55" t="str">
        <f>'Workbook Index'!B51</f>
        <v>Squash, Summer</v>
      </c>
      <c r="C38" s="98">
        <v>10</v>
      </c>
      <c r="D38" s="71"/>
      <c r="E38" s="22"/>
      <c r="F38" s="1236"/>
    </row>
    <row r="39" spans="1:12" ht="15" customHeight="1">
      <c r="A39" s="22"/>
      <c r="B39" s="1199" t="str">
        <f>'Workbook Index'!B52</f>
        <v>Squash, Winter</v>
      </c>
      <c r="C39" s="1240">
        <v>25</v>
      </c>
      <c r="D39" s="1241">
        <v>0</v>
      </c>
      <c r="E39" s="1199">
        <v>2</v>
      </c>
      <c r="F39" s="1238">
        <v>2</v>
      </c>
    </row>
    <row r="40" spans="1:12" ht="15" customHeight="1">
      <c r="A40" s="22"/>
      <c r="B40" s="55" t="str">
        <f>'Workbook Index'!B53</f>
        <v>Tomatoes</v>
      </c>
      <c r="C40" s="98">
        <v>18</v>
      </c>
      <c r="D40" s="71">
        <v>2</v>
      </c>
      <c r="E40" s="22">
        <v>2</v>
      </c>
      <c r="F40" s="1236">
        <v>2</v>
      </c>
    </row>
    <row r="41" spans="1:12" ht="15" customHeight="1">
      <c r="A41" s="22"/>
      <c r="B41" s="1199" t="str">
        <f>'Workbook Index'!B54</f>
        <v>Watermelon</v>
      </c>
      <c r="C41" s="1240">
        <v>15</v>
      </c>
      <c r="D41" s="1241"/>
      <c r="E41" s="1199"/>
      <c r="F41" s="1238"/>
    </row>
    <row r="42" spans="1:12" ht="15" customHeight="1">
      <c r="A42" s="22"/>
      <c r="B42" s="429" t="s">
        <v>462</v>
      </c>
      <c r="C42" s="1242">
        <v>15</v>
      </c>
      <c r="D42" s="1243"/>
      <c r="E42" s="424"/>
      <c r="F42" s="1244"/>
    </row>
    <row r="43" spans="1:12" ht="32" customHeight="1">
      <c r="A43" s="22"/>
      <c r="B43" s="1302" t="s">
        <v>878</v>
      </c>
      <c r="C43" s="1302"/>
      <c r="D43" s="1302"/>
      <c r="E43" s="1302"/>
      <c r="F43" s="1302"/>
      <c r="G43" s="98"/>
    </row>
    <row r="44" spans="1:12" ht="15" customHeight="1">
      <c r="A44" s="22"/>
      <c r="B44" s="55"/>
      <c r="F44" s="95"/>
      <c r="G44" s="98"/>
    </row>
    <row r="45" spans="1:12" ht="15" customHeight="1">
      <c r="A45" s="22"/>
      <c r="B45" s="55"/>
      <c r="F45" s="95"/>
      <c r="G45" s="98"/>
    </row>
    <row r="46" spans="1:12" ht="15" customHeight="1">
      <c r="A46" s="22"/>
      <c r="B46" s="55"/>
      <c r="F46" s="95"/>
      <c r="G46" s="98"/>
    </row>
    <row r="47" spans="1:12" s="28" customFormat="1">
      <c r="A47" s="55"/>
      <c r="B47" s="93"/>
    </row>
    <row r="48" spans="1:12" ht="16" thickBot="1">
      <c r="A48" s="55"/>
      <c r="B48" s="93"/>
      <c r="C48" s="28"/>
      <c r="D48" s="28"/>
      <c r="E48" s="28"/>
      <c r="L48" s="28"/>
    </row>
    <row r="49" spans="1:12" ht="15" customHeight="1" thickBot="1">
      <c r="A49" s="55"/>
      <c r="B49" s="636" t="s">
        <v>605</v>
      </c>
      <c r="C49" s="637"/>
      <c r="D49" s="637"/>
      <c r="E49" s="638"/>
      <c r="F49" s="22"/>
      <c r="L49" s="28"/>
    </row>
    <row r="50" spans="1:12">
      <c r="A50" s="22"/>
      <c r="B50" s="695" t="s">
        <v>451</v>
      </c>
      <c r="C50" s="696"/>
      <c r="D50" s="696"/>
      <c r="E50" s="701"/>
      <c r="F50" s="22"/>
      <c r="L50" s="74"/>
    </row>
    <row r="51" spans="1:12">
      <c r="A51" s="22"/>
      <c r="B51" s="423"/>
      <c r="C51" s="755" t="s">
        <v>876</v>
      </c>
      <c r="D51" s="755" t="s">
        <v>293</v>
      </c>
      <c r="E51" s="756" t="s">
        <v>127</v>
      </c>
      <c r="F51" s="22"/>
      <c r="J51" s="17"/>
      <c r="K51" s="17"/>
      <c r="L51" s="74"/>
    </row>
    <row r="52" spans="1:12">
      <c r="A52" s="22"/>
      <c r="B52" s="51" t="s">
        <v>79</v>
      </c>
      <c r="C52" s="47">
        <v>9.5</v>
      </c>
      <c r="D52" s="22">
        <v>1</v>
      </c>
      <c r="E52" s="85">
        <f t="shared" ref="E52:E60" si="0">C52*D52</f>
        <v>9.5</v>
      </c>
      <c r="F52" s="22"/>
      <c r="G52" s="28"/>
      <c r="H52" s="28"/>
    </row>
    <row r="53" spans="1:12">
      <c r="A53" s="22"/>
      <c r="B53" s="51" t="s">
        <v>80</v>
      </c>
      <c r="C53" s="47">
        <v>4.9000000000000004</v>
      </c>
      <c r="D53" s="22">
        <v>1</v>
      </c>
      <c r="E53" s="85">
        <f t="shared" si="0"/>
        <v>4.9000000000000004</v>
      </c>
      <c r="F53" s="22"/>
      <c r="G53" s="28"/>
      <c r="H53" s="28"/>
    </row>
    <row r="54" spans="1:12">
      <c r="A54" s="22"/>
      <c r="B54" s="51" t="s">
        <v>76</v>
      </c>
      <c r="C54" s="47">
        <v>5.15</v>
      </c>
      <c r="D54" s="22">
        <v>1</v>
      </c>
      <c r="E54" s="85">
        <f t="shared" si="0"/>
        <v>5.15</v>
      </c>
      <c r="F54" s="22"/>
      <c r="G54" s="28"/>
      <c r="H54" s="28"/>
    </row>
    <row r="55" spans="1:12">
      <c r="A55" s="22"/>
      <c r="B55" s="51" t="s">
        <v>88</v>
      </c>
      <c r="C55" s="47">
        <v>2.17</v>
      </c>
      <c r="D55" s="22">
        <v>1</v>
      </c>
      <c r="E55" s="85">
        <f t="shared" si="0"/>
        <v>2.17</v>
      </c>
      <c r="F55" s="22"/>
      <c r="G55" s="28"/>
      <c r="H55" s="28"/>
    </row>
    <row r="56" spans="1:12">
      <c r="A56" s="22"/>
      <c r="B56" s="51" t="s">
        <v>91</v>
      </c>
      <c r="C56" s="47">
        <v>2.59</v>
      </c>
      <c r="D56" s="22">
        <v>2</v>
      </c>
      <c r="E56" s="85">
        <f t="shared" si="0"/>
        <v>5.18</v>
      </c>
      <c r="F56" s="22"/>
    </row>
    <row r="57" spans="1:12">
      <c r="A57" s="22"/>
      <c r="B57" s="51" t="s">
        <v>78</v>
      </c>
      <c r="C57" s="47">
        <v>6.75</v>
      </c>
      <c r="D57" s="22">
        <v>1</v>
      </c>
      <c r="E57" s="85">
        <f t="shared" si="0"/>
        <v>6.75</v>
      </c>
      <c r="F57" s="22"/>
      <c r="G57" s="50"/>
      <c r="H57" s="50"/>
    </row>
    <row r="58" spans="1:12">
      <c r="A58" s="22"/>
      <c r="B58" s="51" t="s">
        <v>87</v>
      </c>
      <c r="C58" s="47">
        <v>2.97</v>
      </c>
      <c r="D58" s="22">
        <v>1</v>
      </c>
      <c r="E58" s="85">
        <f t="shared" si="0"/>
        <v>2.97</v>
      </c>
      <c r="F58" s="22"/>
    </row>
    <row r="59" spans="1:12">
      <c r="A59" s="22"/>
      <c r="B59" s="51" t="s">
        <v>77</v>
      </c>
      <c r="C59" s="47">
        <v>3.7</v>
      </c>
      <c r="D59" s="22">
        <v>1</v>
      </c>
      <c r="E59" s="85">
        <f t="shared" si="0"/>
        <v>3.7</v>
      </c>
      <c r="F59" s="22"/>
    </row>
    <row r="60" spans="1:12">
      <c r="A60" s="22"/>
      <c r="B60" s="423" t="s">
        <v>89</v>
      </c>
      <c r="C60" s="425">
        <v>1</v>
      </c>
      <c r="D60" s="426">
        <v>0.1</v>
      </c>
      <c r="E60" s="433">
        <f t="shared" si="0"/>
        <v>0.1</v>
      </c>
      <c r="F60" s="22"/>
    </row>
    <row r="61" spans="1:12">
      <c r="A61" s="22"/>
      <c r="B61" s="51" t="s">
        <v>453</v>
      </c>
      <c r="C61" s="22"/>
      <c r="D61" s="22"/>
      <c r="E61" s="85">
        <f>SUM(E52:E60)</f>
        <v>40.42</v>
      </c>
      <c r="F61" s="22"/>
    </row>
    <row r="62" spans="1:12">
      <c r="A62" s="22"/>
      <c r="B62" s="695" t="s">
        <v>609</v>
      </c>
      <c r="C62" s="696"/>
      <c r="D62" s="696"/>
      <c r="E62" s="753"/>
      <c r="F62" s="22"/>
    </row>
    <row r="63" spans="1:12">
      <c r="A63" s="22"/>
      <c r="B63" s="51" t="s">
        <v>75</v>
      </c>
      <c r="C63" s="48">
        <v>500</v>
      </c>
      <c r="D63" s="22">
        <v>1</v>
      </c>
      <c r="E63" s="85">
        <f t="shared" ref="E63:E84" si="1">C63*D63</f>
        <v>500</v>
      </c>
      <c r="F63" s="55"/>
      <c r="G63" s="28"/>
      <c r="H63" s="28"/>
      <c r="I63" s="28"/>
      <c r="L63" s="74"/>
    </row>
    <row r="64" spans="1:12">
      <c r="A64" s="22"/>
      <c r="B64" s="51" t="s">
        <v>74</v>
      </c>
      <c r="C64" s="47">
        <v>136</v>
      </c>
      <c r="D64" s="22">
        <v>1</v>
      </c>
      <c r="E64" s="85">
        <f t="shared" si="1"/>
        <v>136</v>
      </c>
      <c r="F64" s="427"/>
      <c r="J64" s="19"/>
      <c r="K64" s="19"/>
      <c r="L64" s="74"/>
    </row>
    <row r="65" spans="1:19">
      <c r="A65" s="22"/>
      <c r="B65" s="51" t="s">
        <v>90</v>
      </c>
      <c r="C65" s="47">
        <v>4.3</v>
      </c>
      <c r="D65" s="22">
        <v>2</v>
      </c>
      <c r="E65" s="85">
        <f t="shared" si="1"/>
        <v>8.6</v>
      </c>
      <c r="F65" s="427"/>
      <c r="G65" s="74"/>
      <c r="H65" s="74"/>
      <c r="I65" s="19"/>
      <c r="J65" s="73"/>
      <c r="K65" s="73"/>
      <c r="L65" s="74"/>
    </row>
    <row r="66" spans="1:19">
      <c r="A66" s="22"/>
      <c r="B66" s="51" t="s">
        <v>97</v>
      </c>
      <c r="C66" s="47">
        <v>5.15</v>
      </c>
      <c r="D66" s="22">
        <v>2</v>
      </c>
      <c r="E66" s="85">
        <f t="shared" si="1"/>
        <v>10.3</v>
      </c>
      <c r="F66" s="427"/>
      <c r="G66" s="74"/>
      <c r="H66" s="74"/>
      <c r="J66" s="74"/>
      <c r="K66" s="74"/>
      <c r="L66" s="74"/>
      <c r="O66" s="22"/>
      <c r="P66" s="22"/>
      <c r="Q66" s="22"/>
      <c r="R66" s="22"/>
      <c r="S66" s="22"/>
    </row>
    <row r="67" spans="1:19">
      <c r="A67" s="22"/>
      <c r="B67" s="51" t="s">
        <v>98</v>
      </c>
      <c r="C67" s="47">
        <v>8.4</v>
      </c>
      <c r="D67" s="22">
        <v>2</v>
      </c>
      <c r="E67" s="85">
        <f t="shared" si="1"/>
        <v>16.8</v>
      </c>
      <c r="F67" s="427"/>
      <c r="G67" s="74"/>
      <c r="H67" s="74"/>
      <c r="I67" s="19"/>
      <c r="J67" s="74"/>
      <c r="K67" s="74"/>
      <c r="L67" s="74"/>
    </row>
    <row r="68" spans="1:19">
      <c r="A68" s="22"/>
      <c r="B68" s="51" t="s">
        <v>95</v>
      </c>
      <c r="C68" s="47">
        <v>2.88</v>
      </c>
      <c r="D68" s="22">
        <v>2</v>
      </c>
      <c r="E68" s="85">
        <f t="shared" si="1"/>
        <v>5.76</v>
      </c>
      <c r="F68" s="427"/>
      <c r="G68" s="74"/>
      <c r="H68" s="74"/>
      <c r="I68" s="19"/>
      <c r="J68" s="74"/>
      <c r="K68" s="74"/>
      <c r="L68" s="74"/>
    </row>
    <row r="69" spans="1:19">
      <c r="A69" s="22"/>
      <c r="B69" s="51" t="s">
        <v>92</v>
      </c>
      <c r="C69" s="47">
        <v>106</v>
      </c>
      <c r="D69" s="22">
        <v>5</v>
      </c>
      <c r="E69" s="85">
        <f t="shared" si="1"/>
        <v>530</v>
      </c>
      <c r="F69" s="427"/>
      <c r="G69" s="74"/>
      <c r="H69" s="74"/>
      <c r="I69" s="74"/>
      <c r="J69" s="74"/>
      <c r="K69" s="74"/>
      <c r="L69" s="74"/>
    </row>
    <row r="70" spans="1:19">
      <c r="A70" s="22"/>
      <c r="B70" s="51" t="s">
        <v>93</v>
      </c>
      <c r="C70" s="47">
        <v>95</v>
      </c>
      <c r="D70" s="22">
        <v>3</v>
      </c>
      <c r="E70" s="85">
        <f t="shared" si="1"/>
        <v>285</v>
      </c>
      <c r="F70" s="427"/>
      <c r="G70" s="74"/>
      <c r="H70" s="74"/>
      <c r="I70" s="74"/>
    </row>
    <row r="71" spans="1:19">
      <c r="A71" s="22"/>
      <c r="B71" s="51" t="s">
        <v>452</v>
      </c>
      <c r="C71" s="47">
        <v>40.42</v>
      </c>
      <c r="D71" s="22">
        <v>10</v>
      </c>
      <c r="E71" s="85">
        <f t="shared" si="1"/>
        <v>404.20000000000005</v>
      </c>
      <c r="F71" s="427"/>
      <c r="G71" s="74"/>
      <c r="H71" s="74"/>
      <c r="I71" s="74"/>
    </row>
    <row r="72" spans="1:19">
      <c r="A72" s="22"/>
      <c r="B72" s="51" t="s">
        <v>81</v>
      </c>
      <c r="C72" s="47">
        <v>7.9</v>
      </c>
      <c r="D72" s="22">
        <v>16</v>
      </c>
      <c r="E72" s="85">
        <f t="shared" si="1"/>
        <v>126.4</v>
      </c>
      <c r="F72" s="427"/>
      <c r="G72" s="74"/>
      <c r="H72" s="74"/>
      <c r="I72" s="74"/>
    </row>
    <row r="73" spans="1:19">
      <c r="A73" s="22"/>
      <c r="B73" s="51" t="s">
        <v>82</v>
      </c>
      <c r="C73" s="47">
        <v>4.2</v>
      </c>
      <c r="D73" s="22">
        <f>9+15</f>
        <v>24</v>
      </c>
      <c r="E73" s="85">
        <f t="shared" si="1"/>
        <v>100.80000000000001</v>
      </c>
      <c r="F73" s="427"/>
      <c r="G73" s="74"/>
      <c r="H73" s="74"/>
    </row>
    <row r="74" spans="1:19">
      <c r="A74" s="22"/>
      <c r="B74" s="51" t="s">
        <v>94</v>
      </c>
      <c r="C74" s="47">
        <v>9.5</v>
      </c>
      <c r="D74" s="22">
        <f>8+15</f>
        <v>23</v>
      </c>
      <c r="E74" s="85">
        <f t="shared" si="1"/>
        <v>218.5</v>
      </c>
      <c r="F74" s="427"/>
      <c r="G74" s="74"/>
      <c r="H74" s="74"/>
    </row>
    <row r="75" spans="1:19">
      <c r="A75" s="22"/>
      <c r="B75" s="51" t="s">
        <v>96</v>
      </c>
      <c r="C75" s="47">
        <v>4.9000000000000004</v>
      </c>
      <c r="D75" s="22">
        <v>15</v>
      </c>
      <c r="E75" s="85">
        <f t="shared" si="1"/>
        <v>73.5</v>
      </c>
      <c r="F75" s="22"/>
    </row>
    <row r="76" spans="1:19">
      <c r="A76" s="22"/>
      <c r="B76" s="51" t="s">
        <v>83</v>
      </c>
      <c r="C76" s="47">
        <v>8.1</v>
      </c>
      <c r="D76" s="22">
        <v>1</v>
      </c>
      <c r="E76" s="85">
        <f t="shared" si="1"/>
        <v>8.1</v>
      </c>
      <c r="F76" s="22"/>
    </row>
    <row r="77" spans="1:19">
      <c r="A77" s="22"/>
      <c r="B77" s="51" t="s">
        <v>84</v>
      </c>
      <c r="C77" s="47">
        <v>3.6</v>
      </c>
      <c r="D77" s="22">
        <v>2</v>
      </c>
      <c r="E77" s="85">
        <f t="shared" si="1"/>
        <v>7.2</v>
      </c>
      <c r="F77" s="22"/>
    </row>
    <row r="78" spans="1:19">
      <c r="A78" s="22"/>
      <c r="B78" s="51" t="s">
        <v>85</v>
      </c>
      <c r="C78" s="47">
        <v>3.2</v>
      </c>
      <c r="D78" s="22">
        <v>40</v>
      </c>
      <c r="E78" s="85">
        <f t="shared" si="1"/>
        <v>128</v>
      </c>
      <c r="F78" s="22"/>
    </row>
    <row r="79" spans="1:19">
      <c r="A79" s="22"/>
      <c r="B79" s="51" t="s">
        <v>86</v>
      </c>
      <c r="C79" s="47">
        <v>2.5</v>
      </c>
      <c r="D79" s="22">
        <v>30</v>
      </c>
      <c r="E79" s="85">
        <f t="shared" si="1"/>
        <v>75</v>
      </c>
      <c r="F79" s="22"/>
    </row>
    <row r="80" spans="1:19">
      <c r="A80" s="22"/>
      <c r="B80" s="51" t="s">
        <v>72</v>
      </c>
      <c r="C80" s="47">
        <v>1.35</v>
      </c>
      <c r="D80" s="22">
        <v>200</v>
      </c>
      <c r="E80" s="85">
        <f t="shared" si="1"/>
        <v>270</v>
      </c>
      <c r="F80" s="22"/>
    </row>
    <row r="81" spans="1:9">
      <c r="A81" s="22"/>
      <c r="B81" s="51" t="s">
        <v>71</v>
      </c>
      <c r="C81" s="47">
        <v>0.4</v>
      </c>
      <c r="D81" s="22">
        <v>300</v>
      </c>
      <c r="E81" s="85">
        <f t="shared" si="1"/>
        <v>120</v>
      </c>
      <c r="F81" s="22"/>
    </row>
    <row r="82" spans="1:9">
      <c r="A82" s="22"/>
      <c r="B82" s="51" t="s">
        <v>73</v>
      </c>
      <c r="C82" s="47">
        <v>23.5</v>
      </c>
      <c r="D82" s="22">
        <v>2</v>
      </c>
      <c r="E82" s="85">
        <f t="shared" si="1"/>
        <v>47</v>
      </c>
      <c r="F82" s="22"/>
    </row>
    <row r="83" spans="1:9">
      <c r="A83" s="22"/>
      <c r="B83" s="51" t="s">
        <v>68</v>
      </c>
      <c r="C83" s="47">
        <v>228</v>
      </c>
      <c r="D83" s="22">
        <v>1</v>
      </c>
      <c r="E83" s="85">
        <f t="shared" si="1"/>
        <v>228</v>
      </c>
      <c r="F83" s="22"/>
    </row>
    <row r="84" spans="1:9">
      <c r="A84" s="22"/>
      <c r="B84" s="51" t="s">
        <v>67</v>
      </c>
      <c r="C84" s="47">
        <v>29.7</v>
      </c>
      <c r="D84" s="22">
        <v>12</v>
      </c>
      <c r="E84" s="85">
        <f t="shared" si="1"/>
        <v>356.4</v>
      </c>
      <c r="F84" s="22"/>
    </row>
    <row r="85" spans="1:9">
      <c r="A85" s="22"/>
      <c r="B85" s="51" t="s">
        <v>594</v>
      </c>
      <c r="C85" s="22"/>
      <c r="D85" s="22"/>
      <c r="E85" s="85">
        <f>SUM(E63:E84)</f>
        <v>3655.56</v>
      </c>
      <c r="F85" s="22"/>
      <c r="G85" s="28"/>
      <c r="H85" s="28"/>
    </row>
    <row r="86" spans="1:9">
      <c r="A86" s="22"/>
      <c r="B86" s="423"/>
      <c r="C86" s="424"/>
      <c r="D86" s="431" t="s">
        <v>448</v>
      </c>
      <c r="E86" s="433">
        <f>E85/18.59</f>
        <v>196.64120494889727</v>
      </c>
      <c r="F86" s="22"/>
      <c r="G86" s="28"/>
      <c r="H86" s="28"/>
    </row>
    <row r="87" spans="1:9" ht="16" thickBot="1">
      <c r="A87" s="22"/>
      <c r="B87" s="77"/>
      <c r="C87" s="78"/>
      <c r="D87" s="430" t="s">
        <v>449</v>
      </c>
      <c r="E87" s="79">
        <f>E86/6</f>
        <v>32.773534158149545</v>
      </c>
      <c r="F87" s="55"/>
      <c r="G87" s="28"/>
      <c r="H87" s="28"/>
    </row>
    <row r="88" spans="1:9" ht="16" thickBot="1">
      <c r="A88" s="22"/>
      <c r="B88" s="55"/>
      <c r="C88" s="55"/>
      <c r="D88" s="176"/>
      <c r="E88" s="178"/>
      <c r="F88" s="55"/>
      <c r="G88" s="28"/>
      <c r="H88" s="28"/>
    </row>
    <row r="89" spans="1:9" ht="16" thickBot="1">
      <c r="B89" s="622" t="s">
        <v>595</v>
      </c>
      <c r="C89" s="623"/>
      <c r="D89" s="623"/>
      <c r="E89" s="624"/>
    </row>
    <row r="90" spans="1:9" ht="30">
      <c r="B90" s="723" t="s">
        <v>219</v>
      </c>
      <c r="C90" s="754"/>
      <c r="D90" s="585" t="s">
        <v>877</v>
      </c>
      <c r="E90" s="584" t="s">
        <v>861</v>
      </c>
    </row>
    <row r="91" spans="1:9">
      <c r="B91" s="51" t="s">
        <v>661</v>
      </c>
      <c r="C91" s="22"/>
      <c r="D91" s="22">
        <v>0.5</v>
      </c>
      <c r="E91" s="85">
        <f>'BW2-Field Act. Labor &amp; Mach.'!$E$84*D91</f>
        <v>6.59605</v>
      </c>
      <c r="I91" s="28"/>
    </row>
    <row r="92" spans="1:9">
      <c r="B92" s="51" t="s">
        <v>132</v>
      </c>
      <c r="C92" s="22"/>
      <c r="D92" s="24">
        <f>(24/7.3)/3</f>
        <v>1.0958904109589043</v>
      </c>
      <c r="E92" s="85">
        <f>'BW2-Field Act. Labor &amp; Mach.'!$E$84*D92</f>
        <v>14.457095890410962</v>
      </c>
    </row>
    <row r="93" spans="1:9">
      <c r="B93" s="51" t="s">
        <v>166</v>
      </c>
      <c r="C93" s="22"/>
      <c r="D93" s="24">
        <v>0.5</v>
      </c>
      <c r="E93" s="85">
        <f>'BW2-Field Act. Labor &amp; Mach.'!$E$84*D93</f>
        <v>6.59605</v>
      </c>
    </row>
    <row r="94" spans="1:9">
      <c r="B94" s="51" t="s">
        <v>133</v>
      </c>
      <c r="C94" s="22"/>
      <c r="D94" s="22">
        <v>1.75</v>
      </c>
      <c r="E94" s="85">
        <f>'BW2-Field Act. Labor &amp; Mach.'!$E$84*D94</f>
        <v>23.086175000000001</v>
      </c>
    </row>
    <row r="95" spans="1:9">
      <c r="B95" s="423" t="s">
        <v>167</v>
      </c>
      <c r="C95" s="424"/>
      <c r="D95" s="424">
        <v>0.5</v>
      </c>
      <c r="E95" s="433">
        <f>'BW2-Field Act. Labor &amp; Mach.'!$E$84*D95</f>
        <v>6.59605</v>
      </c>
    </row>
    <row r="96" spans="1:9" ht="16" thickBot="1">
      <c r="B96" s="1019" t="s">
        <v>596</v>
      </c>
      <c r="C96" s="78"/>
      <c r="D96" s="250">
        <f>SUM(D91:D94)</f>
        <v>3.845890410958904</v>
      </c>
      <c r="E96" s="79">
        <f>'BW2-Field Act. Labor &amp; Mach.'!$E$84*D96</f>
        <v>50.735370890410955</v>
      </c>
      <c r="F96" s="788" t="s">
        <v>632</v>
      </c>
    </row>
    <row r="97" spans="4:5">
      <c r="D97" s="25"/>
      <c r="E97" s="44"/>
    </row>
  </sheetData>
  <sheetProtection sheet="1" objects="1" scenarios="1"/>
  <mergeCells count="3">
    <mergeCell ref="F2:G2"/>
    <mergeCell ref="B43:F43"/>
    <mergeCell ref="B4:F4"/>
  </mergeCells>
  <hyperlinks>
    <hyperlink ref="F2" location="'Workbook Index'!A1" display="Back to Workbook Index"/>
    <hyperlink ref="G2" location="'Workbook Index'!A1" display="'Workbook Index'!A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41</vt:i4>
      </vt:variant>
    </vt:vector>
  </HeadingPairs>
  <TitlesOfParts>
    <vt:vector size="41" baseType="lpstr">
      <vt:lpstr>Title Page</vt:lpstr>
      <vt:lpstr>Workbook Index</vt:lpstr>
      <vt:lpstr>Budget Summary</vt:lpstr>
      <vt:lpstr>Detailed Summary of Crop Costs</vt:lpstr>
      <vt:lpstr>BW1-Bed and Row Spacing</vt:lpstr>
      <vt:lpstr>BW2-Field Act. Labor &amp; Mach.</vt:lpstr>
      <vt:lpstr>BW3-Variable Input</vt:lpstr>
      <vt:lpstr>BW4-Transplant Production</vt:lpstr>
      <vt:lpstr>BW5-Irrigation</vt:lpstr>
      <vt:lpstr>BW6-Harvest and Wash-Pack</vt:lpstr>
      <vt:lpstr>BW7-Yield</vt:lpstr>
      <vt:lpstr>Beans, Green</vt:lpstr>
      <vt:lpstr>Beets</vt:lpstr>
      <vt:lpstr>Broccoli</vt:lpstr>
      <vt:lpstr>Brussels Sprouts</vt:lpstr>
      <vt:lpstr>Cabbage</vt:lpstr>
      <vt:lpstr>Carrots</vt:lpstr>
      <vt:lpstr>Cauliflower</vt:lpstr>
      <vt:lpstr>Chard, Swiss</vt:lpstr>
      <vt:lpstr>Corn, Sweet</vt:lpstr>
      <vt:lpstr>Cucumbers</vt:lpstr>
      <vt:lpstr>Eggplant</vt:lpstr>
      <vt:lpstr>Garlic</vt:lpstr>
      <vt:lpstr>Greens, KaleCollards</vt:lpstr>
      <vt:lpstr>Greens, Salad</vt:lpstr>
      <vt:lpstr>Herbs, Summer Annual</vt:lpstr>
      <vt:lpstr>Kohlrabi</vt:lpstr>
      <vt:lpstr>Leeks</vt:lpstr>
      <vt:lpstr>Lettuce, Head</vt:lpstr>
      <vt:lpstr>Muskmelon</vt:lpstr>
      <vt:lpstr>Onions, Bulb</vt:lpstr>
      <vt:lpstr>Peppers</vt:lpstr>
      <vt:lpstr>Potatoes</vt:lpstr>
      <vt:lpstr>Potatoes, Sweet</vt:lpstr>
      <vt:lpstr>Roots, RadishTurnip</vt:lpstr>
      <vt:lpstr>Scallions</vt:lpstr>
      <vt:lpstr>Squash, Summer</vt:lpstr>
      <vt:lpstr>Squash, Winter</vt:lpstr>
      <vt:lpstr>Tomatoes</vt:lpstr>
      <vt:lpstr>Watermelon</vt:lpstr>
      <vt:lpstr>You-Pick</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Tiffany Thompson</cp:lastModifiedBy>
  <cp:lastPrinted>2016-11-07T19:08:43Z</cp:lastPrinted>
  <dcterms:created xsi:type="dcterms:W3CDTF">2006-02-20T15:03:15Z</dcterms:created>
  <dcterms:modified xsi:type="dcterms:W3CDTF">2017-07-06T16:54:39Z</dcterms:modified>
  <cp:category/>
</cp:coreProperties>
</file>