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 activeTab="3"/>
  </bookViews>
  <sheets>
    <sheet name="Title" sheetId="5" r:id="rId1"/>
    <sheet name="Help" sheetId="6" r:id="rId2"/>
    <sheet name="Instructions, Costs &amp; Variables" sheetId="4" r:id="rId3"/>
    <sheet name="Statement of Cash Flows" sheetId="1" r:id="rId4"/>
    <sheet name="Price Sensitivity Analysis" sheetId="2" r:id="rId5"/>
  </sheets>
  <definedNames>
    <definedName name="Harvest_Eqt">'Instructions, Costs &amp; Variables'!$B$45</definedName>
    <definedName name="Harvest_Labor">'Instructions, Costs &amp; Variables'!$B$53</definedName>
    <definedName name="Insert_Pot">'Instructions, Costs &amp; Variables'!$B$30</definedName>
    <definedName name="Irrigation">'Instructions, Costs &amp; Variables'!$B$41</definedName>
    <definedName name="Irrigation_Total">'Instructions, Costs &amp; Variables'!$B$23</definedName>
    <definedName name="Labor">'Instructions, Costs &amp; Variables'!$B$13</definedName>
    <definedName name="Liner">'Instructions, Costs &amp; Variables'!$B$29</definedName>
    <definedName name="Maintain">'Instructions, Costs &amp; Variables'!$B$52</definedName>
    <definedName name="Media">'Instructions, Costs &amp; Variables'!$B$26</definedName>
    <definedName name="Media_Cost">'Instructions, Costs &amp; Variables'!$B$31</definedName>
    <definedName name="Mkt">'Instructions, Costs &amp; Variables'!$B$46</definedName>
    <definedName name="Pesticide">'Instructions, Costs &amp; Variables'!$B$39</definedName>
    <definedName name="Plant_Equip">'Instructions, Costs &amp; Variables'!$B$36</definedName>
    <definedName name="Plant_Time">'Instructions, Costs &amp; Variables'!$B$50</definedName>
    <definedName name="Price">'Instructions, Costs &amp; Variables'!$B$57</definedName>
    <definedName name="Prod_Eqt">'Instructions, Costs &amp; Variables'!$B$42</definedName>
    <definedName name="Pruning">'Instructions, Costs &amp; Variables'!$B$51</definedName>
    <definedName name="Ribbon">'Instructions, Costs &amp; Variables'!$B$34</definedName>
    <definedName name="Socket">'Instructions, Costs &amp; Variables'!$B$17</definedName>
    <definedName name="Stake">'Instructions, Costs &amp; Variables'!$B$33</definedName>
    <definedName name="Trees">'Instructions, Costs &amp; Variables'!$B$12</definedName>
  </definedNames>
  <calcPr calcId="145621"/>
  <webPublishObjects count="2">
    <webPublishObject id="14342" divId="Pot_In_Pot Economics_14342" destinationFile="C:\Documents and Settings\mernst\My Documents\New Crops Center Support\Pot_In_Pot Economics.mht"/>
    <webPublishObject id="900" divId="Pot_In_Pot Economics For Web_900" destinationFile="C:\Documents and Settings\mernst\My Documents\New Crops Center Support\Pot_In_Pot Economics For Web.htm"/>
  </webPublishObjects>
</workbook>
</file>

<file path=xl/calcChain.xml><?xml version="1.0" encoding="utf-8"?>
<calcChain xmlns="http://schemas.openxmlformats.org/spreadsheetml/2006/main">
  <c r="B36" i="1" l="1"/>
  <c r="B34" i="1"/>
  <c r="C20" i="1"/>
  <c r="C19" i="1"/>
  <c r="C17" i="1"/>
  <c r="B23" i="4"/>
  <c r="B10" i="1" s="1"/>
  <c r="A3" i="1"/>
  <c r="A4" i="1" s="1"/>
  <c r="B43" i="1" s="1"/>
  <c r="B45" i="1" s="1"/>
  <c r="B14" i="1"/>
  <c r="D14" i="1" s="1"/>
  <c r="F16" i="1"/>
  <c r="H16" i="1"/>
  <c r="B17" i="1"/>
  <c r="D17" i="1"/>
  <c r="E17" i="1"/>
  <c r="F17" i="1"/>
  <c r="G17" i="1"/>
  <c r="H17" i="1"/>
  <c r="I17" i="1"/>
  <c r="J17" i="1"/>
  <c r="K17" i="1"/>
  <c r="B19" i="1"/>
  <c r="D19" i="1"/>
  <c r="E19" i="1"/>
  <c r="F19" i="1"/>
  <c r="G19" i="1"/>
  <c r="H19" i="1"/>
  <c r="I19" i="1"/>
  <c r="J19" i="1"/>
  <c r="K19" i="1"/>
  <c r="B20" i="1"/>
  <c r="D20" i="1"/>
  <c r="E20" i="1"/>
  <c r="F20" i="1"/>
  <c r="G20" i="1"/>
  <c r="H20" i="1"/>
  <c r="I20" i="1"/>
  <c r="J20" i="1"/>
  <c r="K20" i="1"/>
  <c r="B24" i="1"/>
  <c r="C24" i="1" s="1"/>
  <c r="E24" i="1"/>
  <c r="G24" i="1"/>
  <c r="I24" i="1"/>
  <c r="K24" i="1"/>
  <c r="B25" i="1"/>
  <c r="C25" i="1"/>
  <c r="D25" i="1"/>
  <c r="E25" i="1"/>
  <c r="F25" i="1"/>
  <c r="G25" i="1"/>
  <c r="H25" i="1"/>
  <c r="I25" i="1"/>
  <c r="J25" i="1"/>
  <c r="K25" i="1"/>
  <c r="B26" i="1"/>
  <c r="D26" i="1"/>
  <c r="F26" i="1"/>
  <c r="H26" i="1"/>
  <c r="J26" i="1"/>
  <c r="B28" i="1"/>
  <c r="D28" i="1"/>
  <c r="F28" i="1"/>
  <c r="H28" i="1"/>
  <c r="J28" i="1"/>
  <c r="B29" i="1"/>
  <c r="D29" i="1"/>
  <c r="F29" i="1"/>
  <c r="H29" i="1"/>
  <c r="J29" i="1"/>
  <c r="B30" i="1"/>
  <c r="C30" i="1"/>
  <c r="D30" i="1"/>
  <c r="E30" i="1"/>
  <c r="F30" i="1"/>
  <c r="G30" i="1"/>
  <c r="H30" i="1"/>
  <c r="I30" i="1"/>
  <c r="J30" i="1"/>
  <c r="K30" i="1"/>
  <c r="C34" i="1"/>
  <c r="D34" i="1"/>
  <c r="E34" i="1"/>
  <c r="F34" i="1"/>
  <c r="G34" i="1"/>
  <c r="H34" i="1"/>
  <c r="I34" i="1"/>
  <c r="J34" i="1"/>
  <c r="K34" i="1"/>
  <c r="D35" i="1"/>
  <c r="F35" i="1"/>
  <c r="H35" i="1"/>
  <c r="J35" i="1"/>
  <c r="C36" i="1"/>
  <c r="D36" i="1"/>
  <c r="E36" i="1"/>
  <c r="F36" i="1"/>
  <c r="G36" i="1"/>
  <c r="H36" i="1"/>
  <c r="I36" i="1"/>
  <c r="J36" i="1"/>
  <c r="K36" i="1"/>
  <c r="J16" i="1" l="1"/>
  <c r="D16" i="1"/>
  <c r="B35" i="1"/>
  <c r="B37" i="1" s="1"/>
  <c r="K35" i="1"/>
  <c r="K37" i="1" s="1"/>
  <c r="I35" i="1"/>
  <c r="I37" i="1" s="1"/>
  <c r="G35" i="1"/>
  <c r="G37" i="1" s="1"/>
  <c r="E35" i="1"/>
  <c r="E37" i="1" s="1"/>
  <c r="C35" i="1"/>
  <c r="C37" i="1" s="1"/>
  <c r="B57" i="1" s="1"/>
  <c r="K29" i="1"/>
  <c r="I29" i="1"/>
  <c r="G29" i="1"/>
  <c r="E29" i="1"/>
  <c r="C29" i="1"/>
  <c r="K28" i="1"/>
  <c r="I28" i="1"/>
  <c r="G28" i="1"/>
  <c r="E28" i="1"/>
  <c r="C28" i="1"/>
  <c r="B18" i="1"/>
  <c r="D18" i="1" s="1"/>
  <c r="K16" i="1"/>
  <c r="I16" i="1"/>
  <c r="G16" i="1"/>
  <c r="E16" i="1"/>
  <c r="B16" i="1"/>
  <c r="B31" i="1"/>
  <c r="B56" i="1" s="1"/>
  <c r="B15" i="1"/>
  <c r="E15" i="1" s="1"/>
  <c r="C14" i="1"/>
  <c r="C16" i="1"/>
  <c r="K14" i="1"/>
  <c r="I31" i="1"/>
  <c r="J37" i="1"/>
  <c r="H37" i="1"/>
  <c r="F37" i="1"/>
  <c r="D37" i="1"/>
  <c r="G14" i="1"/>
  <c r="G31" i="1"/>
  <c r="I14" i="1"/>
  <c r="E14" i="1"/>
  <c r="J24" i="1"/>
  <c r="J31" i="1" s="1"/>
  <c r="H24" i="1"/>
  <c r="H31" i="1" s="1"/>
  <c r="F24" i="1"/>
  <c r="F31" i="1" s="1"/>
  <c r="D24" i="1"/>
  <c r="D31" i="1" s="1"/>
  <c r="H18" i="1"/>
  <c r="J14" i="1"/>
  <c r="H14" i="1"/>
  <c r="F14" i="1"/>
  <c r="B8" i="1"/>
  <c r="B11" i="1" s="1"/>
  <c r="B54" i="1" s="1"/>
  <c r="C31" i="1"/>
  <c r="A2" i="2"/>
  <c r="D43" i="1"/>
  <c r="D45" i="1" s="1"/>
  <c r="F43" i="1"/>
  <c r="F45" i="1" s="1"/>
  <c r="H43" i="1"/>
  <c r="H45" i="1" s="1"/>
  <c r="J43" i="1"/>
  <c r="J45" i="1" s="1"/>
  <c r="C43" i="1"/>
  <c r="C45" i="1" s="1"/>
  <c r="E43" i="1"/>
  <c r="E45" i="1" s="1"/>
  <c r="G43" i="1"/>
  <c r="G45" i="1" s="1"/>
  <c r="I43" i="1"/>
  <c r="I45" i="1" s="1"/>
  <c r="K43" i="1"/>
  <c r="K45" i="1" s="1"/>
  <c r="H15" i="1"/>
  <c r="H21" i="1" s="1"/>
  <c r="H39" i="1" s="1"/>
  <c r="E18" i="1" l="1"/>
  <c r="I15" i="1"/>
  <c r="K31" i="1"/>
  <c r="F15" i="1"/>
  <c r="J15" i="1"/>
  <c r="F18" i="1"/>
  <c r="J18" i="1"/>
  <c r="I18" i="1"/>
  <c r="G18" i="1"/>
  <c r="C18" i="1"/>
  <c r="K18" i="1"/>
  <c r="E31" i="1"/>
  <c r="D15" i="1"/>
  <c r="D21" i="1" s="1"/>
  <c r="D39" i="1" s="1"/>
  <c r="D48" i="1" s="1"/>
  <c r="G15" i="1"/>
  <c r="C15" i="1"/>
  <c r="K15" i="1"/>
  <c r="K21" i="1" s="1"/>
  <c r="E21" i="1"/>
  <c r="G21" i="1"/>
  <c r="G39" i="1" s="1"/>
  <c r="B21" i="1"/>
  <c r="B55" i="1" s="1"/>
  <c r="K39" i="1"/>
  <c r="K48" i="1" s="1"/>
  <c r="K5" i="2"/>
  <c r="D6" i="2"/>
  <c r="H6" i="2"/>
  <c r="H8" i="2"/>
  <c r="K9" i="2"/>
  <c r="H10" i="2"/>
  <c r="H5" i="2"/>
  <c r="H7" i="2"/>
  <c r="K8" i="2"/>
  <c r="D9" i="2"/>
  <c r="H9" i="2"/>
  <c r="K10" i="2"/>
  <c r="H48" i="1"/>
  <c r="D5" i="2" l="1"/>
  <c r="I21" i="1"/>
  <c r="I39" i="1" s="1"/>
  <c r="I6" i="2" s="1"/>
  <c r="K7" i="2"/>
  <c r="K6" i="2"/>
  <c r="D10" i="2"/>
  <c r="E39" i="1"/>
  <c r="C21" i="1"/>
  <c r="C39" i="1" s="1"/>
  <c r="I7" i="2"/>
  <c r="I10" i="2"/>
  <c r="I48" i="1"/>
  <c r="I5" i="2"/>
  <c r="I8" i="2"/>
  <c r="F21" i="1"/>
  <c r="F39" i="1" s="1"/>
  <c r="E8" i="2"/>
  <c r="D7" i="2"/>
  <c r="E9" i="2"/>
  <c r="D8" i="2"/>
  <c r="E5" i="2"/>
  <c r="B39" i="1"/>
  <c r="J21" i="1"/>
  <c r="J39" i="1" s="1"/>
  <c r="G7" i="2"/>
  <c r="G6" i="2"/>
  <c r="G10" i="2"/>
  <c r="G48" i="1"/>
  <c r="G5" i="2"/>
  <c r="G9" i="2"/>
  <c r="G8" i="2"/>
  <c r="C48" i="1"/>
  <c r="C7" i="2"/>
  <c r="C6" i="2"/>
  <c r="C10" i="2"/>
  <c r="C5" i="2"/>
  <c r="C9" i="2"/>
  <c r="C8" i="2"/>
  <c r="B48" i="1" l="1"/>
  <c r="B50" i="1" s="1"/>
  <c r="B6" i="2"/>
  <c r="B8" i="2"/>
  <c r="B10" i="2"/>
  <c r="B9" i="2"/>
  <c r="B7" i="2"/>
  <c r="B5" i="2"/>
  <c r="I9" i="2"/>
  <c r="E48" i="1"/>
  <c r="E7" i="2"/>
  <c r="E6" i="2"/>
  <c r="E10" i="2"/>
  <c r="R10" i="2" s="1"/>
  <c r="J6" i="2"/>
  <c r="J10" i="2"/>
  <c r="J5" i="2"/>
  <c r="J9" i="2"/>
  <c r="J48" i="1"/>
  <c r="J8" i="2"/>
  <c r="J7" i="2"/>
  <c r="F6" i="2"/>
  <c r="F10" i="2"/>
  <c r="F5" i="2"/>
  <c r="F9" i="2"/>
  <c r="F8" i="2"/>
  <c r="F7" i="2"/>
  <c r="F48" i="1"/>
  <c r="M5" i="2"/>
  <c r="P10" i="2"/>
  <c r="C50" i="1"/>
  <c r="D50" i="1" s="1"/>
  <c r="E50" i="1" s="1"/>
  <c r="Q8" i="2" l="1"/>
  <c r="P8" i="2"/>
  <c r="M7" i="2"/>
  <c r="C60" i="1"/>
  <c r="D60" i="1"/>
  <c r="M8" i="2"/>
  <c r="R8" i="2"/>
  <c r="R6" i="2"/>
  <c r="P6" i="2"/>
  <c r="M6" i="2"/>
  <c r="Q6" i="2"/>
  <c r="O6" i="2"/>
  <c r="O7" i="2"/>
  <c r="Q7" i="2"/>
  <c r="R7" i="2"/>
  <c r="P7" i="2"/>
  <c r="O10" i="2"/>
  <c r="Q10" i="2"/>
  <c r="R9" i="2"/>
  <c r="O9" i="2"/>
  <c r="P9" i="2"/>
  <c r="Q9" i="2"/>
  <c r="M9" i="2"/>
  <c r="E60" i="1"/>
  <c r="F50" i="1"/>
  <c r="G50" i="1" s="1"/>
  <c r="H50" i="1" s="1"/>
  <c r="I50" i="1" s="1"/>
  <c r="J50" i="1" s="1"/>
  <c r="K50" i="1" s="1"/>
  <c r="B60" i="1"/>
  <c r="O8" i="2"/>
  <c r="M10" i="2"/>
</calcChain>
</file>

<file path=xl/sharedStrings.xml><?xml version="1.0" encoding="utf-8"?>
<sst xmlns="http://schemas.openxmlformats.org/spreadsheetml/2006/main" count="160" uniqueCount="149">
  <si>
    <t>EXPENSES</t>
  </si>
  <si>
    <t>Year 1</t>
  </si>
  <si>
    <t>Year 2</t>
  </si>
  <si>
    <t>Year 3</t>
  </si>
  <si>
    <t>Year 4</t>
  </si>
  <si>
    <t>Year 5</t>
  </si>
  <si>
    <t>Year 7</t>
  </si>
  <si>
    <t>Year 8</t>
  </si>
  <si>
    <t>Year 9</t>
  </si>
  <si>
    <t>Year 10</t>
  </si>
  <si>
    <t xml:space="preserve">  Tying Ribbon</t>
  </si>
  <si>
    <t xml:space="preserve"> Total Installation Expense</t>
  </si>
  <si>
    <t xml:space="preserve">  Pesticides</t>
  </si>
  <si>
    <t xml:space="preserve"> Total Planting Expense</t>
  </si>
  <si>
    <t>INSTALLATION EXPENSE</t>
  </si>
  <si>
    <t>PLANTING EXPENSE</t>
  </si>
  <si>
    <t>ANNUAL PRODUCTION EXPENSE</t>
  </si>
  <si>
    <t>HARVEST EXPENSE</t>
  </si>
  <si>
    <t xml:space="preserve"> Total Production Expense</t>
  </si>
  <si>
    <t>Total Harvest Expense</t>
  </si>
  <si>
    <r>
      <t>CUMULATIVE CASH FLOW</t>
    </r>
    <r>
      <rPr>
        <b/>
        <vertAlign val="superscript"/>
        <sz val="10"/>
        <rFont val="Arial"/>
        <family val="2"/>
      </rPr>
      <t>4</t>
    </r>
  </si>
  <si>
    <r>
      <t>3</t>
    </r>
    <r>
      <rPr>
        <sz val="10"/>
        <rFont val="Arial"/>
      </rPr>
      <t xml:space="preserve"> Annual cash flow is the amount available for loan principal and interest repayment, operator management and labor, depreciation, and other fixed costs</t>
    </r>
  </si>
  <si>
    <r>
      <t>4</t>
    </r>
    <r>
      <rPr>
        <sz val="10"/>
        <rFont val="Arial"/>
      </rPr>
      <t xml:space="preserve"> Cumulative cash flow is the present value of accumulated cash flows</t>
    </r>
  </si>
  <si>
    <r>
      <t>ANNUAL CASH FLOW</t>
    </r>
    <r>
      <rPr>
        <b/>
        <vertAlign val="superscript"/>
        <sz val="12"/>
        <rFont val="Arial"/>
        <family val="2"/>
      </rPr>
      <t>3</t>
    </r>
  </si>
  <si>
    <t xml:space="preserve">  Fabric</t>
  </si>
  <si>
    <t>Year 6</t>
  </si>
  <si>
    <t xml:space="preserve">  Hired Labor</t>
  </si>
  <si>
    <t>TOTAL CASH EXPENSE</t>
  </si>
  <si>
    <t>10-Year ESTIMATED CASH FLOWS FOR 1-ACRE RED MAPLE POT-IN-POT OPERATION: Western Kentucky Market</t>
  </si>
  <si>
    <r>
      <t xml:space="preserve">  Irrigation System</t>
    </r>
    <r>
      <rPr>
        <vertAlign val="superscript"/>
        <sz val="10"/>
        <rFont val="Arial"/>
        <family val="2"/>
      </rPr>
      <t>1</t>
    </r>
  </si>
  <si>
    <t>Insert Pot</t>
  </si>
  <si>
    <t>COSTS</t>
  </si>
  <si>
    <t>Bamboo Stake</t>
  </si>
  <si>
    <t>Irrigation</t>
  </si>
  <si>
    <r>
      <t xml:space="preserve">  Equipment Fuel, Oil and Repairs</t>
    </r>
    <r>
      <rPr>
        <vertAlign val="superscript"/>
        <sz val="10"/>
        <rFont val="Arial"/>
        <family val="2"/>
      </rPr>
      <t>2</t>
    </r>
  </si>
  <si>
    <t>SALES</t>
  </si>
  <si>
    <t>GROSS SALES</t>
  </si>
  <si>
    <t>Net Present Value of Cash Flows</t>
  </si>
  <si>
    <t>Cost and Return Per Plant</t>
  </si>
  <si>
    <t>Installation Cost</t>
  </si>
  <si>
    <t>Annual Production Cost</t>
  </si>
  <si>
    <t>Planting Cost</t>
  </si>
  <si>
    <t>Harvest Cost</t>
  </si>
  <si>
    <t>trees</t>
  </si>
  <si>
    <t>Year</t>
  </si>
  <si>
    <t>Annual Cash Flows at Various Prices</t>
  </si>
  <si>
    <t>Cumulative Cash Flow (Not Discounted)</t>
  </si>
  <si>
    <t xml:space="preserve">  Plant Liners</t>
  </si>
  <si>
    <t xml:space="preserve">  Insert Pots</t>
  </si>
  <si>
    <t xml:space="preserve">  Hired Labor--10 minutes/tree</t>
  </si>
  <si>
    <t xml:space="preserve">  Bamboo Stakes</t>
  </si>
  <si>
    <t xml:space="preserve">  Marketing Expense</t>
  </si>
  <si>
    <t xml:space="preserve">  Sockets</t>
  </si>
  <si>
    <t>Discount Rate</t>
  </si>
  <si>
    <t>TREE POPULATION PER ACRE</t>
  </si>
  <si>
    <t>Returns</t>
  </si>
  <si>
    <t>pot-in-pot production options for an existing or potential nursery operation.</t>
  </si>
  <si>
    <t>This cash flow template is designed to assist you in evaluating</t>
  </si>
  <si>
    <t>Planting Costs</t>
  </si>
  <si>
    <t>Equipment Fuel, Oil, &amp; Repairs (Planting Only)</t>
  </si>
  <si>
    <t>To use this tool, fill in your estimated plant population, costs, labor times, and predicted sales price in the cells below.</t>
  </si>
  <si>
    <t>Installation Costs</t>
  </si>
  <si>
    <t>Fabric  (Total Cost per Acre)</t>
  </si>
  <si>
    <t>Plant Liner</t>
  </si>
  <si>
    <t>All costs are per one (1) input unit unless otherwise noted.</t>
  </si>
  <si>
    <t>These values will automatically be calculated for the whole acre in the "Statement of Cash Flows" Sheet.</t>
  </si>
  <si>
    <t>Planting Time per Tree (Minutes)</t>
  </si>
  <si>
    <t>Planting</t>
  </si>
  <si>
    <t>Media Used Per Tree (Cubic Yards)</t>
  </si>
  <si>
    <t>Cubic Yards</t>
  </si>
  <si>
    <t>Media-Per Cubic Yard</t>
  </si>
  <si>
    <t xml:space="preserve">  Media</t>
  </si>
  <si>
    <t>Irrigation System Components</t>
  </si>
  <si>
    <t>Irrigation System Total</t>
  </si>
  <si>
    <t xml:space="preserve">  System Controller/Lines</t>
  </si>
  <si>
    <t xml:space="preserve">  Pump</t>
  </si>
  <si>
    <t xml:space="preserve">  Filters, PVC, &amp; Misc.</t>
  </si>
  <si>
    <t>Sockets  (Including Installation Labor/Socket)</t>
  </si>
  <si>
    <t>Labor Charge/Hour</t>
  </si>
  <si>
    <t>Trees</t>
  </si>
  <si>
    <t>Production Costs</t>
  </si>
  <si>
    <t>Pesticides (Total Cost Per Acre)</t>
  </si>
  <si>
    <t>Tying Ribbon (Total Cost Per Acre)</t>
  </si>
  <si>
    <t xml:space="preserve">     Pruning</t>
  </si>
  <si>
    <t xml:space="preserve">     Maintenance</t>
  </si>
  <si>
    <t>Harvest Costs</t>
  </si>
  <si>
    <t>Equipment Fuel, Oil, &amp; Repairs (Production Yr. Only)</t>
  </si>
  <si>
    <t>Equipment Fuel, Oil &amp; Repairs (Harvest Year Only)</t>
  </si>
  <si>
    <t>Mkting Charge (Percent of Sale Price)</t>
  </si>
  <si>
    <t xml:space="preserve">  Labor</t>
  </si>
  <si>
    <t>Harvest Time per Tree (Minutes)</t>
  </si>
  <si>
    <t>minutes</t>
  </si>
  <si>
    <t>Sale Price Per Tree</t>
  </si>
  <si>
    <t xml:space="preserve">  Equipment Fuel, Oil, Repairs2</t>
  </si>
  <si>
    <r>
      <t xml:space="preserve">  Irrigation</t>
    </r>
    <r>
      <rPr>
        <vertAlign val="superscript"/>
        <sz val="10"/>
        <rFont val="Arial"/>
      </rPr>
      <t>2</t>
    </r>
  </si>
  <si>
    <r>
      <t xml:space="preserve">  Equipment Fuel, Oil and Repairs</t>
    </r>
    <r>
      <rPr>
        <vertAlign val="superscript"/>
        <sz val="10"/>
        <rFont val="Arial"/>
      </rPr>
      <t>2</t>
    </r>
  </si>
  <si>
    <r>
      <t>1</t>
    </r>
    <r>
      <rPr>
        <sz val="10"/>
        <rFont val="Arial"/>
      </rPr>
      <t xml:space="preserve"> Irrigation System is assumed to be purchased in Year 1</t>
    </r>
  </si>
  <si>
    <r>
      <t xml:space="preserve">trees </t>
    </r>
    <r>
      <rPr>
        <i/>
        <sz val="10"/>
        <rFont val="Arial"/>
        <family val="2"/>
      </rPr>
      <t>planted</t>
    </r>
    <r>
      <rPr>
        <sz val="10"/>
        <rFont val="Arial"/>
      </rPr>
      <t xml:space="preserve"> per acre</t>
    </r>
  </si>
  <si>
    <r>
      <t xml:space="preserve">trees </t>
    </r>
    <r>
      <rPr>
        <i/>
        <sz val="10"/>
        <rFont val="Arial"/>
        <family val="2"/>
      </rPr>
      <t xml:space="preserve">marketed </t>
    </r>
    <r>
      <rPr>
        <sz val="10"/>
        <rFont val="Arial"/>
        <family val="2"/>
      </rPr>
      <t>per acre</t>
    </r>
  </si>
  <si>
    <t xml:space="preserve"> 1,087 Trees</t>
  </si>
  <si>
    <t>Present Value of Cash Flows at Different Rates</t>
  </si>
  <si>
    <t>University of Kentucky</t>
  </si>
  <si>
    <t>Department of Agricultural Economics</t>
  </si>
  <si>
    <t>400 Charles E. Barnhart Bldg.</t>
  </si>
  <si>
    <t>Lexington, KY  40546-0276</t>
  </si>
  <si>
    <t>Phone:  859-257-5762</t>
  </si>
  <si>
    <t>Fax: 859-323-1913</t>
  </si>
  <si>
    <t>URL:</t>
  </si>
  <si>
    <t xml:space="preserve"> www.uky.edu/Ag/AgEcon/</t>
  </si>
  <si>
    <t>Website Questions:</t>
  </si>
  <si>
    <t>aecwww@uky.edu</t>
  </si>
  <si>
    <t>Pot-in-Pot Nursery System Cash Flow Worksheet</t>
  </si>
  <si>
    <t>Cash Flow Worksheet Questions: Matt Ernst</t>
  </si>
  <si>
    <t>Pot-in-Pot Production Questions: Amy Fulcher</t>
  </si>
  <si>
    <t>afulcher@uky.edu</t>
  </si>
  <si>
    <t>Pruning Time per Tree  (Minutes)</t>
  </si>
  <si>
    <t>Maintenance Time per Tree (Minutes)</t>
  </si>
  <si>
    <t>Labor Times  (Per Year)</t>
  </si>
  <si>
    <t>Help</t>
  </si>
  <si>
    <t xml:space="preserve">Problem: </t>
  </si>
  <si>
    <t>Calculations are not updated.</t>
  </si>
  <si>
    <t>Answer:</t>
  </si>
  <si>
    <t>You must have Miscrosoft Excel to use this spreadsheet.  If you have</t>
  </si>
  <si>
    <t>Wordperfect or have had it or any Corel software on your computer you</t>
  </si>
  <si>
    <t>may currently have Quick View Plus on your computer.  If the</t>
  </si>
  <si>
    <t>Pot-in-Pot Nursery System Cash Flow Worksheet opens in Quick View Plus</t>
  </si>
  <si>
    <t>complete the following steps:</t>
  </si>
  <si>
    <t>1.  At the top left portion of the screen click on the Excel icon.  It</t>
  </si>
  <si>
    <t xml:space="preserve">    should say "opening copy in Excel" or "open copy in Excel for editing".</t>
  </si>
  <si>
    <t>2.  Select a folder to save the file to that is not the Temporary Internet Files folder</t>
  </si>
  <si>
    <t xml:space="preserve">    or a folder within the Temporary Internet Files folder. </t>
  </si>
  <si>
    <t xml:space="preserve">3.  Click on the Save button to save the file to the selected folder. </t>
  </si>
  <si>
    <t xml:space="preserve">The worksheet should now automatically open in Excel.  </t>
  </si>
  <si>
    <t>In the future you can work from this saved file on your harddrive.</t>
  </si>
  <si>
    <t xml:space="preserve">Contacts: </t>
  </si>
  <si>
    <t>Updated: 1/26/04</t>
  </si>
  <si>
    <t>We will put the answers to questions and problems here as we discover them.</t>
  </si>
  <si>
    <r>
      <t>2</t>
    </r>
    <r>
      <rPr>
        <sz val="10"/>
        <rFont val="Arial"/>
      </rPr>
      <t xml:space="preserve"> Defaults assume existing ownership of 34HP Tractor (New Purchase Price: $22,000) and Wagon (New Purchase Price: $1400)</t>
    </r>
  </si>
  <si>
    <t>Fertilizer</t>
  </si>
  <si>
    <t xml:space="preserve">  Fertilizer</t>
  </si>
  <si>
    <t>**Estimated Costs for One Acre</t>
  </si>
  <si>
    <t>bj.brymer@uky.edu</t>
  </si>
  <si>
    <t>Pot-in-Pot Production Questions: BJ Brymer</t>
  </si>
  <si>
    <t>tawoods@uky.edu</t>
  </si>
  <si>
    <t>Cash Flow Worksheet Questions: Tim Woods</t>
  </si>
  <si>
    <t>Values below are default costs calculated for 2008 nursery establishment in Western Kentucky.</t>
  </si>
  <si>
    <t>Revised: May 2009</t>
  </si>
  <si>
    <t>Annual Sales Version</t>
  </si>
  <si>
    <t>It updates the Jan. 2009 version to reflect annual sales after Year 2 (instead of sales every other year).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</si>
</sst>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12"/>
      <name val="Arial"/>
    </font>
    <font>
      <b/>
      <sz val="10"/>
      <name val="Bookman Old Style"/>
      <family val="1"/>
    </font>
    <font>
      <b/>
      <sz val="12"/>
      <color indexed="12"/>
      <name val="Arial"/>
    </font>
    <font>
      <vertAlign val="superscript"/>
      <sz val="10"/>
      <name val="Arial"/>
    </font>
    <font>
      <b/>
      <sz val="14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</font>
    <font>
      <i/>
      <sz val="8"/>
      <name val="Arial"/>
      <family val="2"/>
    </font>
    <font>
      <b/>
      <sz val="10"/>
      <color rgb="FFFF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2"/>
      </right>
      <top/>
      <bottom/>
      <diagonal/>
    </border>
    <border>
      <left style="double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164" fontId="0" fillId="2" borderId="0" xfId="2" applyNumberFormat="1" applyFont="1" applyFill="1"/>
    <xf numFmtId="164" fontId="0" fillId="0" borderId="0" xfId="2" applyNumberFormat="1" applyFont="1"/>
    <xf numFmtId="0" fontId="3" fillId="0" borderId="0" xfId="0" applyFont="1" applyAlignment="1">
      <alignment wrapText="1"/>
    </xf>
    <xf numFmtId="164" fontId="3" fillId="2" borderId="0" xfId="2" applyNumberFormat="1" applyFont="1" applyFill="1"/>
    <xf numFmtId="164" fontId="3" fillId="0" borderId="0" xfId="2" applyNumberFormat="1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164" fontId="0" fillId="0" borderId="0" xfId="2" applyNumberFormat="1" applyFont="1" applyFill="1"/>
    <xf numFmtId="0" fontId="10" fillId="0" borderId="0" xfId="0" applyFont="1"/>
    <xf numFmtId="164" fontId="10" fillId="2" borderId="0" xfId="2" applyNumberFormat="1" applyFont="1" applyFill="1"/>
    <xf numFmtId="164" fontId="10" fillId="0" borderId="0" xfId="2" applyNumberFormat="1" applyFont="1"/>
    <xf numFmtId="164" fontId="6" fillId="2" borderId="0" xfId="2" applyNumberFormat="1" applyFont="1" applyFill="1"/>
    <xf numFmtId="164" fontId="6" fillId="0" borderId="0" xfId="2" applyNumberFormat="1" applyFont="1"/>
    <xf numFmtId="164" fontId="3" fillId="0" borderId="0" xfId="2" applyNumberFormat="1" applyFont="1" applyFill="1"/>
    <xf numFmtId="0" fontId="6" fillId="0" borderId="0" xfId="0" applyFont="1" applyAlignment="1">
      <alignment vertical="center"/>
    </xf>
    <xf numFmtId="164" fontId="9" fillId="2" borderId="0" xfId="2" applyNumberFormat="1" applyFont="1" applyFill="1" applyAlignment="1">
      <alignment vertical="center"/>
    </xf>
    <xf numFmtId="164" fontId="9" fillId="0" borderId="0" xfId="2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9" fontId="0" fillId="2" borderId="0" xfId="0" applyNumberFormat="1" applyFill="1"/>
    <xf numFmtId="6" fontId="0" fillId="2" borderId="0" xfId="0" applyNumberFormat="1" applyFill="1"/>
    <xf numFmtId="6" fontId="0" fillId="0" borderId="0" xfId="0" applyNumberFormat="1"/>
    <xf numFmtId="9" fontId="2" fillId="2" borderId="0" xfId="0" applyNumberFormat="1" applyFont="1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6" fontId="2" fillId="2" borderId="0" xfId="0" applyNumberFormat="1" applyFont="1" applyFill="1" applyAlignment="1">
      <alignment horizontal="center"/>
    </xf>
    <xf numFmtId="6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43" fontId="0" fillId="2" borderId="0" xfId="0" applyNumberFormat="1" applyFill="1"/>
    <xf numFmtId="44" fontId="0" fillId="2" borderId="0" xfId="2" applyFont="1" applyFill="1"/>
    <xf numFmtId="9" fontId="2" fillId="2" borderId="0" xfId="4" applyFont="1" applyFill="1" applyAlignment="1">
      <alignment horizontal="center"/>
    </xf>
    <xf numFmtId="0" fontId="0" fillId="0" borderId="1" xfId="0" applyBorder="1"/>
    <xf numFmtId="0" fontId="2" fillId="0" borderId="1" xfId="0" applyFont="1" applyBorder="1"/>
    <xf numFmtId="164" fontId="0" fillId="0" borderId="0" xfId="2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1" fillId="0" borderId="0" xfId="2" applyNumberFormat="1" applyFont="1" applyFill="1" applyProtection="1">
      <protection locked="0"/>
    </xf>
    <xf numFmtId="0" fontId="12" fillId="0" borderId="0" xfId="0" applyFont="1"/>
    <xf numFmtId="0" fontId="9" fillId="0" borderId="0" xfId="0" applyFont="1"/>
    <xf numFmtId="44" fontId="11" fillId="0" borderId="0" xfId="2" applyFont="1"/>
    <xf numFmtId="165" fontId="13" fillId="0" borderId="0" xfId="1" applyNumberFormat="1" applyFont="1" applyProtection="1">
      <protection locked="0"/>
    </xf>
    <xf numFmtId="44" fontId="11" fillId="0" borderId="0" xfId="2" applyFont="1" applyProtection="1"/>
    <xf numFmtId="44" fontId="11" fillId="0" borderId="0" xfId="2" applyFont="1" applyProtection="1">
      <protection locked="0"/>
    </xf>
    <xf numFmtId="43" fontId="11" fillId="0" borderId="0" xfId="1" applyFont="1" applyProtection="1">
      <protection locked="0"/>
    </xf>
    <xf numFmtId="9" fontId="11" fillId="0" borderId="0" xfId="4" applyFont="1" applyProtection="1">
      <protection locked="0"/>
    </xf>
    <xf numFmtId="164" fontId="1" fillId="2" borderId="0" xfId="2" applyNumberFormat="1" applyFont="1" applyFill="1" applyProtection="1"/>
    <xf numFmtId="165" fontId="2" fillId="0" borderId="0" xfId="1" applyNumberFormat="1" applyFont="1" applyProtection="1"/>
    <xf numFmtId="165" fontId="11" fillId="0" borderId="0" xfId="1" applyNumberFormat="1" applyFont="1" applyProtection="1">
      <protection locked="0"/>
    </xf>
    <xf numFmtId="0" fontId="1" fillId="0" borderId="0" xfId="0" applyFont="1" applyProtection="1"/>
    <xf numFmtId="164" fontId="1" fillId="0" borderId="0" xfId="2" applyNumberFormat="1" applyFont="1" applyProtection="1"/>
    <xf numFmtId="164" fontId="1" fillId="0" borderId="0" xfId="2" applyNumberFormat="1" applyFont="1" applyFill="1" applyProtection="1"/>
    <xf numFmtId="9" fontId="0" fillId="0" borderId="0" xfId="0" applyNumberFormat="1"/>
    <xf numFmtId="8" fontId="0" fillId="0" borderId="0" xfId="0" applyNumberFormat="1"/>
    <xf numFmtId="0" fontId="2" fillId="0" borderId="0" xfId="0" applyFont="1" applyAlignment="1">
      <alignment horizontal="centerContinuous"/>
    </xf>
    <xf numFmtId="0" fontId="0" fillId="3" borderId="0" xfId="0" applyFill="1"/>
    <xf numFmtId="0" fontId="0" fillId="3" borderId="0" xfId="0" applyFill="1" applyBorder="1"/>
    <xf numFmtId="0" fontId="0" fillId="3" borderId="2" xfId="0" applyFill="1" applyBorder="1"/>
    <xf numFmtId="0" fontId="0" fillId="3" borderId="0" xfId="0" applyFill="1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16" fillId="3" borderId="0" xfId="0" applyFont="1" applyFill="1" applyBorder="1" applyAlignment="1"/>
    <xf numFmtId="0" fontId="0" fillId="0" borderId="2" xfId="0" applyBorder="1" applyAlignment="1"/>
    <xf numFmtId="0" fontId="0" fillId="3" borderId="0" xfId="0" applyFill="1" applyBorder="1" applyAlignment="1">
      <alignment horizontal="center"/>
    </xf>
    <xf numFmtId="0" fontId="0" fillId="0" borderId="0" xfId="0" applyBorder="1" applyAlignment="1"/>
    <xf numFmtId="0" fontId="16" fillId="3" borderId="0" xfId="0" applyFont="1" applyFill="1" applyBorder="1"/>
    <xf numFmtId="0" fontId="19" fillId="3" borderId="0" xfId="0" applyFont="1" applyFill="1" applyBorder="1" applyAlignment="1"/>
    <xf numFmtId="0" fontId="19" fillId="0" borderId="0" xfId="0" applyFont="1" applyBorder="1" applyAlignment="1"/>
    <xf numFmtId="0" fontId="0" fillId="0" borderId="0" xfId="0" applyBorder="1"/>
    <xf numFmtId="0" fontId="0" fillId="0" borderId="2" xfId="0" applyBorder="1"/>
    <xf numFmtId="0" fontId="18" fillId="0" borderId="0" xfId="3" applyAlignment="1" applyProtection="1"/>
    <xf numFmtId="0" fontId="2" fillId="0" borderId="0" xfId="0" applyFont="1" applyBorder="1"/>
    <xf numFmtId="0" fontId="8" fillId="0" borderId="0" xfId="0" applyFont="1" applyBorder="1"/>
    <xf numFmtId="44" fontId="0" fillId="0" borderId="0" xfId="2" applyFont="1"/>
    <xf numFmtId="44" fontId="11" fillId="0" borderId="0" xfId="2" applyFont="1" applyFill="1" applyProtection="1">
      <protection locked="0"/>
    </xf>
    <xf numFmtId="44" fontId="11" fillId="0" borderId="0" xfId="2" applyFont="1" applyFill="1"/>
    <xf numFmtId="44" fontId="11" fillId="0" borderId="0" xfId="2" applyFont="1" applyFill="1" applyProtection="1"/>
    <xf numFmtId="165" fontId="11" fillId="0" borderId="0" xfId="1" applyNumberFormat="1" applyFont="1" applyFill="1" applyProtection="1">
      <protection locked="0"/>
    </xf>
    <xf numFmtId="165" fontId="11" fillId="0" borderId="0" xfId="1" applyNumberFormat="1" applyFont="1" applyFill="1" applyProtection="1"/>
    <xf numFmtId="43" fontId="11" fillId="0" borderId="0" xfId="1" applyFont="1" applyFill="1" applyProtection="1">
      <protection locked="0"/>
    </xf>
    <xf numFmtId="0" fontId="18" fillId="0" borderId="0" xfId="3" applyFont="1" applyAlignment="1" applyProtection="1"/>
    <xf numFmtId="0" fontId="0" fillId="3" borderId="3" xfId="0" applyFill="1" applyBorder="1" applyAlignment="1"/>
    <xf numFmtId="0" fontId="20" fillId="0" borderId="0" xfId="0" applyFont="1"/>
    <xf numFmtId="0" fontId="15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0" fillId="0" borderId="0" xfId="0" applyBorder="1" applyAlignment="1"/>
    <xf numFmtId="0" fontId="0" fillId="0" borderId="2" xfId="0" applyBorder="1" applyAlignment="1"/>
    <xf numFmtId="0" fontId="18" fillId="0" borderId="0" xfId="3" applyBorder="1" applyAlignment="1" applyProtection="1"/>
    <xf numFmtId="0" fontId="17" fillId="3" borderId="0" xfId="3" applyFont="1" applyFill="1" applyBorder="1" applyAlignment="1" applyProtection="1"/>
    <xf numFmtId="0" fontId="16" fillId="3" borderId="0" xfId="0" applyFont="1" applyFill="1" applyAlignment="1"/>
    <xf numFmtId="0" fontId="0" fillId="0" borderId="0" xfId="0" applyAlignment="1"/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10</xdr:col>
      <xdr:colOff>333375</xdr:colOff>
      <xdr:row>2</xdr:row>
      <xdr:rowOff>133350</xdr:rowOff>
    </xdr:to>
    <xdr:pic>
      <xdr:nvPicPr>
        <xdr:cNvPr id="1025" name="Picture 1" descr="CEShead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8575"/>
          <a:ext cx="65532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27</xdr:row>
      <xdr:rowOff>0</xdr:rowOff>
    </xdr:from>
    <xdr:to>
      <xdr:col>10</xdr:col>
      <xdr:colOff>409575</xdr:colOff>
      <xdr:row>28</xdr:row>
      <xdr:rowOff>47625</xdr:rowOff>
    </xdr:to>
    <xdr:pic>
      <xdr:nvPicPr>
        <xdr:cNvPr id="1026" name="Picture 2" descr="CESfoot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4276725"/>
          <a:ext cx="6629400" cy="2095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142875</xdr:colOff>
      <xdr:row>22</xdr:row>
      <xdr:rowOff>19050</xdr:rowOff>
    </xdr:from>
    <xdr:to>
      <xdr:col>10</xdr:col>
      <xdr:colOff>542925</xdr:colOff>
      <xdr:row>23</xdr:row>
      <xdr:rowOff>85725</xdr:rowOff>
    </xdr:to>
    <xdr:pic>
      <xdr:nvPicPr>
        <xdr:cNvPr id="1027" name="Picture 3" descr="CESee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33700" y="3571875"/>
          <a:ext cx="4057650" cy="228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ecwww@uky.edu?subject=Nursery%20Cash%20Flow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ecwww@uky.edu" TargetMode="External"/><Relationship Id="rId1" Type="http://schemas.openxmlformats.org/officeDocument/2006/relationships/hyperlink" Target="http://www.uky.edu/Ag/AgEcon/" TargetMode="External"/><Relationship Id="rId6" Type="http://schemas.openxmlformats.org/officeDocument/2006/relationships/hyperlink" Target="mailto:rmcniel@uky.edu?subject=Pot-in-Pot%20Production" TargetMode="External"/><Relationship Id="rId5" Type="http://schemas.openxmlformats.org/officeDocument/2006/relationships/hyperlink" Target="mailto:afulcher@uky.edu?subject=Pot-in-Pot%20Production" TargetMode="External"/><Relationship Id="rId4" Type="http://schemas.openxmlformats.org/officeDocument/2006/relationships/hyperlink" Target="mailto:mernst@uky.edu?subject=Pot-in-Pot%20Cash%20Flow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mcniel@uky.edu?subject=Pot-in-Pot%20Production" TargetMode="External"/><Relationship Id="rId2" Type="http://schemas.openxmlformats.org/officeDocument/2006/relationships/hyperlink" Target="mailto:afulcher@uky.edu?subject=Pot-in-Pot%20Production" TargetMode="External"/><Relationship Id="rId1" Type="http://schemas.openxmlformats.org/officeDocument/2006/relationships/hyperlink" Target="mailto:mernst@uky.edu?subject=Pot-in-Pot%20Cash%20Flows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E11" sqref="E11"/>
    </sheetView>
  </sheetViews>
  <sheetFormatPr defaultRowHeight="12.75" x14ac:dyDescent="0.2"/>
  <cols>
    <col min="3" max="3" width="14.42578125" customWidth="1"/>
    <col min="11" max="11" width="11.28515625" customWidth="1"/>
  </cols>
  <sheetData>
    <row r="1" spans="1:15" x14ac:dyDescent="0.2">
      <c r="A1" s="64"/>
      <c r="B1" s="65"/>
      <c r="C1" s="66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x14ac:dyDescent="0.2">
      <c r="A2" s="64"/>
      <c r="B2" s="65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x14ac:dyDescent="0.2">
      <c r="A3" s="64"/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x14ac:dyDescent="0.2">
      <c r="A4" s="64"/>
      <c r="B4" s="65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x14ac:dyDescent="0.2">
      <c r="A5" s="64"/>
      <c r="B5" s="65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x14ac:dyDescent="0.2">
      <c r="A6" s="64"/>
      <c r="B6" s="65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x14ac:dyDescent="0.2">
      <c r="A7" s="64"/>
      <c r="B7" s="65"/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18" x14ac:dyDescent="0.25">
      <c r="A8" s="64"/>
      <c r="B8" s="65"/>
      <c r="C8" s="66"/>
      <c r="D8" s="67"/>
      <c r="E8" s="92" t="s">
        <v>111</v>
      </c>
      <c r="F8" s="93"/>
      <c r="G8" s="93"/>
      <c r="H8" s="93"/>
      <c r="I8" s="93"/>
      <c r="J8" s="93"/>
      <c r="K8" s="93"/>
      <c r="L8" s="68"/>
      <c r="M8" s="69"/>
      <c r="N8" s="67"/>
      <c r="O8" s="67"/>
    </row>
    <row r="9" spans="1:15" ht="18" x14ac:dyDescent="0.25">
      <c r="A9" s="70" t="s">
        <v>101</v>
      </c>
      <c r="B9" s="73"/>
      <c r="C9" s="71"/>
      <c r="D9" s="67"/>
      <c r="E9" s="92" t="s">
        <v>147</v>
      </c>
      <c r="F9" s="93"/>
      <c r="G9" s="93"/>
      <c r="H9" s="93"/>
      <c r="I9" s="93"/>
      <c r="J9" s="93"/>
      <c r="K9" s="93"/>
      <c r="L9" s="67"/>
      <c r="M9" s="67"/>
      <c r="N9" s="67"/>
      <c r="O9" s="67"/>
    </row>
    <row r="10" spans="1:15" x14ac:dyDescent="0.2">
      <c r="A10" s="70" t="s">
        <v>102</v>
      </c>
      <c r="B10" s="73"/>
      <c r="C10" s="71"/>
      <c r="D10" s="67"/>
      <c r="E10" s="94" t="s">
        <v>146</v>
      </c>
      <c r="F10" s="94"/>
      <c r="G10" s="94"/>
      <c r="H10" s="94"/>
      <c r="I10" s="94"/>
      <c r="J10" s="94"/>
      <c r="K10" s="94"/>
      <c r="L10" s="72"/>
      <c r="M10" s="72"/>
      <c r="N10" s="67"/>
      <c r="O10" s="67"/>
    </row>
    <row r="11" spans="1:15" x14ac:dyDescent="0.2">
      <c r="A11" s="70" t="s">
        <v>103</v>
      </c>
      <c r="B11" s="73"/>
      <c r="C11" s="71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x14ac:dyDescent="0.2">
      <c r="A12" s="95" t="s">
        <v>104</v>
      </c>
      <c r="B12" s="96"/>
      <c r="C12" s="9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x14ac:dyDescent="0.2">
      <c r="A13" s="64"/>
      <c r="B13" s="7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x14ac:dyDescent="0.2">
      <c r="A14" s="95" t="s">
        <v>105</v>
      </c>
      <c r="B14" s="96"/>
      <c r="C14" s="9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x14ac:dyDescent="0.2">
      <c r="A15" s="95" t="s">
        <v>106</v>
      </c>
      <c r="B15" s="96"/>
      <c r="C15" s="9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x14ac:dyDescent="0.2">
      <c r="A16" s="74" t="s">
        <v>107</v>
      </c>
      <c r="B16" s="99" t="s">
        <v>108</v>
      </c>
      <c r="C16" s="9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x14ac:dyDescent="0.2">
      <c r="A17" s="95"/>
      <c r="B17" s="96"/>
      <c r="C17" s="96"/>
      <c r="D17" s="90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x14ac:dyDescent="0.2">
      <c r="A18" s="70" t="s">
        <v>144</v>
      </c>
      <c r="B18" s="69"/>
      <c r="C18" s="73"/>
      <c r="D18" s="90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x14ac:dyDescent="0.2">
      <c r="A19" s="64"/>
      <c r="B19" s="89" t="s">
        <v>143</v>
      </c>
      <c r="D19" s="90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6.75" customHeight="1" x14ac:dyDescent="0.2">
      <c r="A20" s="64"/>
      <c r="B20" s="79"/>
      <c r="D20" s="90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x14ac:dyDescent="0.2">
      <c r="A21" s="70" t="s">
        <v>142</v>
      </c>
      <c r="B21" s="69"/>
      <c r="C21" s="73"/>
      <c r="D21" s="90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x14ac:dyDescent="0.2">
      <c r="A22" s="64"/>
      <c r="B22" s="89" t="s">
        <v>141</v>
      </c>
      <c r="D22" s="90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x14ac:dyDescent="0.2">
      <c r="A23" s="70" t="s">
        <v>113</v>
      </c>
      <c r="B23" s="69"/>
      <c r="C23" s="73"/>
      <c r="D23" s="90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x14ac:dyDescent="0.2">
      <c r="A24" s="64"/>
      <c r="B24" s="89" t="s">
        <v>114</v>
      </c>
      <c r="D24" s="90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6" customHeight="1" x14ac:dyDescent="0.2">
      <c r="A25" s="64"/>
      <c r="B25" s="79"/>
      <c r="D25" s="90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x14ac:dyDescent="0.2">
      <c r="A26" s="100" t="s">
        <v>109</v>
      </c>
      <c r="B26" s="101"/>
      <c r="C26" s="96"/>
      <c r="D26" s="90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x14ac:dyDescent="0.2">
      <c r="A27" s="75"/>
      <c r="B27" s="98" t="s">
        <v>110</v>
      </c>
      <c r="C27" s="98"/>
      <c r="D27" s="90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 x14ac:dyDescent="0.2">
      <c r="A28" s="76"/>
      <c r="B28" s="76"/>
      <c r="C28" s="76"/>
      <c r="D28" s="90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 x14ac:dyDescent="0.2">
      <c r="A29" s="64"/>
      <c r="B29" s="65"/>
      <c r="C29" s="65"/>
      <c r="D29" s="90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5" x14ac:dyDescent="0.2">
      <c r="A30" s="64"/>
      <c r="B30" s="65"/>
      <c r="C30" s="65"/>
      <c r="D30" s="90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x14ac:dyDescent="0.2">
      <c r="A31" s="64"/>
      <c r="B31" s="65"/>
      <c r="C31" s="65"/>
      <c r="D31" s="90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x14ac:dyDescent="0.2">
      <c r="A32" s="64"/>
      <c r="B32" s="65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x14ac:dyDescent="0.2">
      <c r="A33" s="64"/>
      <c r="B33" s="65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 x14ac:dyDescent="0.2">
      <c r="A34" s="64"/>
      <c r="B34" s="65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5" x14ac:dyDescent="0.2">
      <c r="A35" s="64"/>
      <c r="B35" s="65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x14ac:dyDescent="0.2">
      <c r="A36" s="64"/>
      <c r="B36" s="65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5" x14ac:dyDescent="0.2">
      <c r="A37" s="64"/>
      <c r="B37" s="65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5" x14ac:dyDescent="0.2">
      <c r="A38" s="64"/>
      <c r="B38" s="65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 x14ac:dyDescent="0.2">
      <c r="A39" s="64"/>
      <c r="B39" s="65"/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5" x14ac:dyDescent="0.2">
      <c r="A40" s="64"/>
      <c r="B40" s="65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1:15" x14ac:dyDescent="0.2">
      <c r="A41" s="64"/>
      <c r="B41" s="65"/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5" x14ac:dyDescent="0.2">
      <c r="A42" s="64"/>
      <c r="B42" s="65"/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x14ac:dyDescent="0.2">
      <c r="A43" s="64"/>
      <c r="B43" s="65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5" x14ac:dyDescent="0.2">
      <c r="A44" s="64"/>
      <c r="B44" s="65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5" x14ac:dyDescent="0.2">
      <c r="A45" s="64"/>
      <c r="B45" s="65"/>
      <c r="C45" s="66"/>
      <c r="F45" s="67"/>
      <c r="G45" s="67"/>
      <c r="H45" s="67"/>
      <c r="I45" s="67"/>
      <c r="J45" s="67"/>
      <c r="K45" s="67"/>
      <c r="L45" s="67"/>
    </row>
    <row r="46" spans="1:15" x14ac:dyDescent="0.2">
      <c r="A46" s="64"/>
      <c r="B46" s="77"/>
      <c r="C46" s="78"/>
      <c r="F46" s="67"/>
      <c r="G46" s="67"/>
      <c r="H46" s="67"/>
      <c r="I46" s="67"/>
      <c r="J46" s="67"/>
      <c r="K46" s="67"/>
      <c r="L46" s="67"/>
    </row>
    <row r="47" spans="1:15" x14ac:dyDescent="0.2">
      <c r="A47" s="64"/>
      <c r="B47" s="77"/>
      <c r="C47" s="78"/>
    </row>
    <row r="48" spans="1:15" x14ac:dyDescent="0.2">
      <c r="A48" s="64"/>
      <c r="B48" s="77"/>
      <c r="C48" s="78"/>
    </row>
    <row r="49" spans="1:3" x14ac:dyDescent="0.2">
      <c r="A49" s="64"/>
      <c r="B49" s="77"/>
      <c r="C49" s="78"/>
    </row>
    <row r="50" spans="1:3" x14ac:dyDescent="0.2">
      <c r="A50" s="64"/>
      <c r="B50" s="77"/>
      <c r="C50" s="78"/>
    </row>
    <row r="51" spans="1:3" x14ac:dyDescent="0.2">
      <c r="A51" s="64"/>
      <c r="B51" s="77"/>
      <c r="C51" s="78"/>
    </row>
    <row r="52" spans="1:3" x14ac:dyDescent="0.2">
      <c r="A52" s="64"/>
      <c r="B52" s="77"/>
      <c r="C52" s="78"/>
    </row>
    <row r="53" spans="1:3" x14ac:dyDescent="0.2">
      <c r="A53" s="64"/>
      <c r="B53" s="77"/>
      <c r="C53" s="78"/>
    </row>
    <row r="54" spans="1:3" x14ac:dyDescent="0.2">
      <c r="A54" s="64"/>
      <c r="B54" s="77"/>
      <c r="C54" s="78"/>
    </row>
    <row r="55" spans="1:3" x14ac:dyDescent="0.2">
      <c r="A55" s="64"/>
      <c r="B55" s="77"/>
      <c r="C55" s="78"/>
    </row>
    <row r="56" spans="1:3" x14ac:dyDescent="0.2">
      <c r="A56" s="64"/>
      <c r="B56" s="77"/>
      <c r="C56" s="78"/>
    </row>
    <row r="57" spans="1:3" x14ac:dyDescent="0.2">
      <c r="A57" s="64"/>
      <c r="B57" s="77"/>
      <c r="C57" s="78"/>
    </row>
    <row r="58" spans="1:3" x14ac:dyDescent="0.2">
      <c r="A58" s="64"/>
      <c r="B58" s="77"/>
      <c r="C58" s="78"/>
    </row>
    <row r="59" spans="1:3" x14ac:dyDescent="0.2">
      <c r="A59" s="64"/>
      <c r="B59" s="77"/>
      <c r="C59" s="78"/>
    </row>
    <row r="60" spans="1:3" x14ac:dyDescent="0.2">
      <c r="A60" s="64"/>
      <c r="B60" s="77"/>
      <c r="C60" s="78"/>
    </row>
    <row r="61" spans="1:3" x14ac:dyDescent="0.2">
      <c r="A61" s="64"/>
      <c r="B61" s="77"/>
      <c r="C61" s="78"/>
    </row>
    <row r="62" spans="1:3" x14ac:dyDescent="0.2">
      <c r="A62" s="64"/>
      <c r="B62" s="77"/>
      <c r="C62" s="78"/>
    </row>
    <row r="63" spans="1:3" x14ac:dyDescent="0.2">
      <c r="A63" s="64"/>
      <c r="B63" s="77"/>
      <c r="C63" s="78"/>
    </row>
    <row r="64" spans="1:3" x14ac:dyDescent="0.2">
      <c r="A64" s="64"/>
      <c r="B64" s="77"/>
      <c r="C64" s="78"/>
    </row>
    <row r="65" spans="1:3" x14ac:dyDescent="0.2">
      <c r="A65" s="64"/>
      <c r="B65" s="77"/>
      <c r="C65" s="78"/>
    </row>
    <row r="66" spans="1:3" x14ac:dyDescent="0.2">
      <c r="A66" s="64"/>
      <c r="B66" s="77"/>
      <c r="C66" s="78"/>
    </row>
    <row r="67" spans="1:3" x14ac:dyDescent="0.2">
      <c r="A67" s="64"/>
      <c r="B67" s="77"/>
      <c r="C67" s="78"/>
    </row>
    <row r="68" spans="1:3" x14ac:dyDescent="0.2">
      <c r="A68" s="64"/>
      <c r="B68" s="77"/>
      <c r="C68" s="78"/>
    </row>
    <row r="69" spans="1:3" x14ac:dyDescent="0.2">
      <c r="A69" s="64"/>
      <c r="B69" s="77"/>
      <c r="C69" s="78"/>
    </row>
    <row r="70" spans="1:3" x14ac:dyDescent="0.2">
      <c r="A70" s="64"/>
      <c r="B70" s="77"/>
      <c r="C70" s="78"/>
    </row>
    <row r="71" spans="1:3" x14ac:dyDescent="0.2">
      <c r="A71" s="64"/>
      <c r="B71" s="77"/>
      <c r="C71" s="78"/>
    </row>
  </sheetData>
  <mergeCells count="10">
    <mergeCell ref="B27:C27"/>
    <mergeCell ref="A15:C15"/>
    <mergeCell ref="B16:C16"/>
    <mergeCell ref="A17:C17"/>
    <mergeCell ref="A26:C26"/>
    <mergeCell ref="E8:K8"/>
    <mergeCell ref="E10:K10"/>
    <mergeCell ref="A12:C12"/>
    <mergeCell ref="A14:C14"/>
    <mergeCell ref="E9:K9"/>
  </mergeCells>
  <hyperlinks>
    <hyperlink ref="B16" r:id="rId1" display="Web: www.uky.edu/Ag/AgEcon/"/>
    <hyperlink ref="B27" r:id="rId2"/>
    <hyperlink ref="B27:C27" r:id="rId3" display="aecwww@uky.edu"/>
    <hyperlink ref="B19" r:id="rId4" display="mernst@uky.edu"/>
    <hyperlink ref="B22" r:id="rId5" display="afulcher@uky.edu"/>
    <hyperlink ref="B24" r:id="rId6" display="rmcniel@uky.edu"/>
  </hyperlinks>
  <pageMargins left="0.75" right="0.75" top="1" bottom="1" header="0.5" footer="0.5"/>
  <pageSetup orientation="portrait" horizontalDpi="300" verticalDpi="300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opLeftCell="A10" workbookViewId="0">
      <selection activeCell="C33" sqref="C33"/>
    </sheetView>
  </sheetViews>
  <sheetFormatPr defaultRowHeight="12.75" x14ac:dyDescent="0.2"/>
  <sheetData>
    <row r="1" spans="1:10" x14ac:dyDescent="0.2">
      <c r="A1" s="77"/>
      <c r="B1" s="77"/>
      <c r="C1" s="77"/>
      <c r="D1" s="77"/>
      <c r="E1" s="77"/>
      <c r="F1" s="77"/>
      <c r="G1" s="77"/>
      <c r="H1" s="77"/>
      <c r="I1" s="77"/>
      <c r="J1" s="77"/>
    </row>
    <row r="2" spans="1:10" ht="15.75" x14ac:dyDescent="0.25">
      <c r="A2" s="77"/>
      <c r="B2" s="102" t="s">
        <v>111</v>
      </c>
      <c r="C2" s="102"/>
      <c r="D2" s="102"/>
      <c r="E2" s="102"/>
      <c r="F2" s="102"/>
      <c r="G2" s="102"/>
      <c r="H2" s="102"/>
      <c r="I2" s="102"/>
      <c r="J2" s="77"/>
    </row>
    <row r="3" spans="1:10" x14ac:dyDescent="0.2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5" x14ac:dyDescent="0.25">
      <c r="A4" s="77"/>
      <c r="B4" s="103" t="s">
        <v>118</v>
      </c>
      <c r="C4" s="104"/>
      <c r="D4" s="103"/>
      <c r="E4" s="103"/>
      <c r="F4" s="103"/>
      <c r="G4" s="103"/>
      <c r="H4" s="103"/>
      <c r="I4" s="103"/>
      <c r="J4" s="77"/>
    </row>
    <row r="5" spans="1:10" x14ac:dyDescent="0.2">
      <c r="A5" s="77"/>
      <c r="B5" s="77"/>
      <c r="C5" s="77"/>
      <c r="D5" s="77"/>
      <c r="E5" s="105" t="s">
        <v>135</v>
      </c>
      <c r="F5" s="105"/>
      <c r="G5" s="77"/>
      <c r="H5" s="77"/>
      <c r="I5" s="77"/>
      <c r="J5" s="77"/>
    </row>
    <row r="6" spans="1:10" x14ac:dyDescent="0.2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x14ac:dyDescent="0.2">
      <c r="A7" s="77" t="s">
        <v>136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x14ac:dyDescent="0.2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x14ac:dyDescent="0.2">
      <c r="A9" s="80" t="s">
        <v>119</v>
      </c>
      <c r="B9" s="81" t="s">
        <v>120</v>
      </c>
      <c r="C9" s="77"/>
      <c r="D9" s="77"/>
      <c r="E9" s="77"/>
      <c r="F9" s="77"/>
      <c r="G9" s="77"/>
      <c r="H9" s="77"/>
      <c r="I9" s="77"/>
      <c r="J9" s="77"/>
    </row>
    <row r="10" spans="1:10" x14ac:dyDescent="0.2">
      <c r="A10" s="80" t="s">
        <v>121</v>
      </c>
      <c r="B10" s="77" t="s">
        <v>122</v>
      </c>
      <c r="C10" s="77"/>
      <c r="D10" s="77"/>
      <c r="E10" s="77"/>
      <c r="F10" s="77"/>
      <c r="G10" s="77"/>
      <c r="H10" s="77"/>
      <c r="I10" s="77"/>
      <c r="J10" s="77"/>
    </row>
    <row r="11" spans="1:10" x14ac:dyDescent="0.2">
      <c r="A11" s="77"/>
      <c r="B11" s="77" t="s">
        <v>123</v>
      </c>
      <c r="C11" s="77"/>
      <c r="D11" s="77"/>
      <c r="E11" s="77"/>
      <c r="F11" s="77"/>
      <c r="G11" s="77"/>
      <c r="H11" s="77"/>
      <c r="I11" s="77"/>
      <c r="J11" s="77"/>
    </row>
    <row r="12" spans="1:10" x14ac:dyDescent="0.2">
      <c r="A12" s="77"/>
      <c r="B12" s="77" t="s">
        <v>124</v>
      </c>
      <c r="C12" s="77"/>
      <c r="D12" s="77"/>
      <c r="E12" s="77"/>
      <c r="F12" s="77"/>
      <c r="G12" s="77"/>
      <c r="H12" s="77"/>
      <c r="I12" s="77"/>
      <c r="J12" s="77"/>
    </row>
    <row r="13" spans="1:10" x14ac:dyDescent="0.2">
      <c r="A13" s="77"/>
      <c r="B13" s="77" t="s">
        <v>125</v>
      </c>
      <c r="C13" s="77"/>
      <c r="D13" s="77"/>
      <c r="E13" s="77"/>
      <c r="F13" s="77"/>
      <c r="G13" s="77"/>
      <c r="H13" s="77"/>
      <c r="I13" s="77"/>
      <c r="J13" s="77"/>
    </row>
    <row r="14" spans="1:10" x14ac:dyDescent="0.2">
      <c r="A14" s="77"/>
      <c r="B14" s="77" t="s">
        <v>126</v>
      </c>
      <c r="C14" s="77"/>
      <c r="D14" s="77"/>
      <c r="E14" s="77"/>
      <c r="F14" s="77"/>
      <c r="G14" s="77"/>
      <c r="H14" s="77"/>
      <c r="I14" s="77"/>
      <c r="J14" s="77"/>
    </row>
    <row r="15" spans="1:10" x14ac:dyDescent="0.2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x14ac:dyDescent="0.2">
      <c r="A16" s="77"/>
      <c r="B16" s="77" t="s">
        <v>127</v>
      </c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77"/>
      <c r="B17" s="77" t="s">
        <v>128</v>
      </c>
      <c r="C17" s="77"/>
      <c r="D17" s="77"/>
      <c r="E17" s="77"/>
      <c r="F17" s="77"/>
      <c r="G17" s="77"/>
      <c r="H17" s="77"/>
      <c r="I17" s="77"/>
      <c r="J17" s="77"/>
    </row>
    <row r="18" spans="1:10" x14ac:dyDescent="0.2">
      <c r="A18" s="77"/>
      <c r="B18" s="77" t="s">
        <v>129</v>
      </c>
      <c r="C18" s="77"/>
      <c r="D18" s="77"/>
      <c r="E18" s="77"/>
      <c r="F18" s="77"/>
      <c r="G18" s="77"/>
      <c r="H18" s="77"/>
      <c r="I18" s="77"/>
      <c r="J18" s="77"/>
    </row>
    <row r="19" spans="1:10" x14ac:dyDescent="0.2">
      <c r="A19" s="77"/>
      <c r="B19" s="77" t="s">
        <v>130</v>
      </c>
      <c r="C19" s="77"/>
      <c r="D19" s="77"/>
      <c r="E19" s="77"/>
      <c r="F19" s="77"/>
      <c r="G19" s="77"/>
      <c r="H19" s="77"/>
      <c r="I19" s="77"/>
      <c r="J19" s="77"/>
    </row>
    <row r="20" spans="1:10" x14ac:dyDescent="0.2">
      <c r="A20" s="77"/>
      <c r="B20" s="77" t="s">
        <v>131</v>
      </c>
      <c r="C20" s="77"/>
      <c r="D20" s="77"/>
      <c r="E20" s="77"/>
      <c r="F20" s="77"/>
      <c r="G20" s="77"/>
      <c r="H20" s="77"/>
      <c r="I20" s="77"/>
      <c r="J20" s="77"/>
    </row>
    <row r="21" spans="1:10" x14ac:dyDescent="0.2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x14ac:dyDescent="0.2">
      <c r="A22" s="77"/>
      <c r="B22" s="77" t="s">
        <v>132</v>
      </c>
      <c r="C22" s="77"/>
      <c r="D22" s="77"/>
      <c r="E22" s="77"/>
      <c r="F22" s="77"/>
      <c r="G22" s="77"/>
      <c r="H22" s="77"/>
      <c r="I22" s="77"/>
      <c r="J22" s="77"/>
    </row>
    <row r="23" spans="1:10" x14ac:dyDescent="0.2">
      <c r="A23" s="77"/>
      <c r="B23" s="77" t="s">
        <v>133</v>
      </c>
      <c r="C23" s="77"/>
      <c r="D23" s="77"/>
      <c r="E23" s="77"/>
      <c r="F23" s="77"/>
      <c r="G23" s="77"/>
      <c r="H23" s="77"/>
      <c r="I23" s="77"/>
      <c r="J23" s="77"/>
    </row>
    <row r="24" spans="1:10" x14ac:dyDescent="0.2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0" x14ac:dyDescent="0.2">
      <c r="A25" s="80" t="s">
        <v>134</v>
      </c>
      <c r="B25" s="77"/>
      <c r="C25" s="77"/>
      <c r="D25" s="77"/>
      <c r="E25" s="77"/>
      <c r="F25" s="77"/>
      <c r="G25" s="77"/>
      <c r="H25" s="77"/>
      <c r="I25" s="77"/>
      <c r="J25" s="77"/>
    </row>
    <row r="26" spans="1:10" x14ac:dyDescent="0.2">
      <c r="B26" s="70" t="s">
        <v>112</v>
      </c>
      <c r="C26" s="69"/>
      <c r="D26" s="71"/>
    </row>
    <row r="27" spans="1:10" x14ac:dyDescent="0.2">
      <c r="B27" s="64"/>
      <c r="C27" s="89" t="s">
        <v>143</v>
      </c>
    </row>
    <row r="28" spans="1:10" x14ac:dyDescent="0.2">
      <c r="B28" s="64"/>
      <c r="C28" s="79"/>
    </row>
    <row r="29" spans="1:10" x14ac:dyDescent="0.2">
      <c r="B29" s="70" t="s">
        <v>142</v>
      </c>
      <c r="C29" s="69"/>
      <c r="D29" s="71"/>
    </row>
    <row r="30" spans="1:10" ht="12" customHeight="1" x14ac:dyDescent="0.2">
      <c r="B30" s="64"/>
      <c r="C30" s="89" t="s">
        <v>141</v>
      </c>
    </row>
    <row r="31" spans="1:10" ht="18.75" customHeight="1" x14ac:dyDescent="0.2">
      <c r="B31" s="70" t="s">
        <v>113</v>
      </c>
      <c r="C31" s="69"/>
      <c r="D31" s="71"/>
    </row>
    <row r="32" spans="1:10" x14ac:dyDescent="0.2">
      <c r="B32" s="64"/>
      <c r="C32" s="89" t="s">
        <v>114</v>
      </c>
    </row>
  </sheetData>
  <mergeCells count="3">
    <mergeCell ref="B2:I2"/>
    <mergeCell ref="B4:I4"/>
    <mergeCell ref="E5:F5"/>
  </mergeCells>
  <hyperlinks>
    <hyperlink ref="C27" r:id="rId1" display="mernst@uky.edu"/>
    <hyperlink ref="C30" r:id="rId2" display="afulcher@uky.edu"/>
    <hyperlink ref="C32" r:id="rId3" display="rmcniel@uky.edu"/>
  </hyperlinks>
  <pageMargins left="0.75" right="0.75" top="1" bottom="1" header="0.5" footer="0.5"/>
  <pageSetup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4" sqref="C4"/>
    </sheetView>
  </sheetViews>
  <sheetFormatPr defaultRowHeight="12.75" x14ac:dyDescent="0.2"/>
  <cols>
    <col min="1" max="1" width="45.85546875" customWidth="1"/>
    <col min="2" max="2" width="10.28515625" style="49" bestFit="1" customWidth="1"/>
  </cols>
  <sheetData>
    <row r="1" spans="1:3" x14ac:dyDescent="0.2">
      <c r="A1" s="47" t="s">
        <v>57</v>
      </c>
    </row>
    <row r="2" spans="1:3" x14ac:dyDescent="0.2">
      <c r="A2" s="47" t="s">
        <v>56</v>
      </c>
    </row>
    <row r="3" spans="1:3" x14ac:dyDescent="0.2">
      <c r="A3" s="91" t="s">
        <v>148</v>
      </c>
    </row>
    <row r="4" spans="1:3" x14ac:dyDescent="0.2">
      <c r="A4" s="47"/>
    </row>
    <row r="5" spans="1:3" x14ac:dyDescent="0.2">
      <c r="A5" s="47" t="s">
        <v>145</v>
      </c>
    </row>
    <row r="6" spans="1:3" x14ac:dyDescent="0.2">
      <c r="A6" s="47" t="s">
        <v>60</v>
      </c>
    </row>
    <row r="7" spans="1:3" x14ac:dyDescent="0.2">
      <c r="A7" s="47"/>
    </row>
    <row r="8" spans="1:3" x14ac:dyDescent="0.2">
      <c r="A8" s="47" t="s">
        <v>64</v>
      </c>
    </row>
    <row r="9" spans="1:3" x14ac:dyDescent="0.2">
      <c r="A9" s="47" t="s">
        <v>65</v>
      </c>
    </row>
    <row r="10" spans="1:3" x14ac:dyDescent="0.2">
      <c r="A10" s="47"/>
    </row>
    <row r="11" spans="1:3" x14ac:dyDescent="0.2">
      <c r="A11" s="47"/>
    </row>
    <row r="12" spans="1:3" s="48" customFormat="1" ht="15.75" x14ac:dyDescent="0.25">
      <c r="A12" s="15" t="s">
        <v>54</v>
      </c>
      <c r="B12" s="50">
        <v>1144</v>
      </c>
      <c r="C12" s="48" t="s">
        <v>79</v>
      </c>
    </row>
    <row r="13" spans="1:3" s="48" customFormat="1" ht="15.75" x14ac:dyDescent="0.25">
      <c r="A13" s="15" t="s">
        <v>78</v>
      </c>
      <c r="B13" s="52">
        <v>10</v>
      </c>
    </row>
    <row r="15" spans="1:3" x14ac:dyDescent="0.2">
      <c r="A15" s="1" t="s">
        <v>31</v>
      </c>
      <c r="B15" s="51"/>
    </row>
    <row r="16" spans="1:3" x14ac:dyDescent="0.2">
      <c r="A16" s="1" t="s">
        <v>61</v>
      </c>
      <c r="B16" s="51"/>
    </row>
    <row r="17" spans="1:3" x14ac:dyDescent="0.2">
      <c r="A17" t="s">
        <v>77</v>
      </c>
      <c r="B17" s="52">
        <v>20</v>
      </c>
    </row>
    <row r="18" spans="1:3" x14ac:dyDescent="0.2">
      <c r="A18" s="16" t="s">
        <v>62</v>
      </c>
      <c r="B18" s="83">
        <v>1694</v>
      </c>
    </row>
    <row r="19" spans="1:3" x14ac:dyDescent="0.2">
      <c r="A19" s="16" t="s">
        <v>72</v>
      </c>
      <c r="B19" s="84"/>
    </row>
    <row r="20" spans="1:3" x14ac:dyDescent="0.2">
      <c r="A20" s="16" t="s">
        <v>74</v>
      </c>
      <c r="B20" s="46">
        <v>2476</v>
      </c>
    </row>
    <row r="21" spans="1:3" x14ac:dyDescent="0.2">
      <c r="A21" t="s">
        <v>75</v>
      </c>
      <c r="B21" s="46">
        <v>1800</v>
      </c>
    </row>
    <row r="22" spans="1:3" x14ac:dyDescent="0.2">
      <c r="A22" s="16" t="s">
        <v>76</v>
      </c>
      <c r="B22" s="46">
        <v>4400</v>
      </c>
    </row>
    <row r="23" spans="1:3" x14ac:dyDescent="0.2">
      <c r="A23" s="13" t="s">
        <v>73</v>
      </c>
      <c r="B23" s="46">
        <f>SUM(B20:B22)</f>
        <v>8676</v>
      </c>
    </row>
    <row r="24" spans="1:3" x14ac:dyDescent="0.2">
      <c r="A24" s="16"/>
      <c r="B24" s="85"/>
    </row>
    <row r="25" spans="1:3" x14ac:dyDescent="0.2">
      <c r="A25" s="1" t="s">
        <v>67</v>
      </c>
      <c r="B25" s="85"/>
    </row>
    <row r="26" spans="1:3" x14ac:dyDescent="0.2">
      <c r="A26" s="16" t="s">
        <v>68</v>
      </c>
      <c r="B26" s="86">
        <v>76</v>
      </c>
      <c r="C26" t="s">
        <v>69</v>
      </c>
    </row>
    <row r="27" spans="1:3" x14ac:dyDescent="0.2">
      <c r="A27" s="1"/>
      <c r="B27" s="87"/>
    </row>
    <row r="28" spans="1:3" x14ac:dyDescent="0.2">
      <c r="A28" s="1" t="s">
        <v>58</v>
      </c>
      <c r="B28" s="84"/>
    </row>
    <row r="29" spans="1:3" x14ac:dyDescent="0.2">
      <c r="A29" t="s">
        <v>63</v>
      </c>
      <c r="B29" s="83">
        <v>10</v>
      </c>
      <c r="C29" s="82"/>
    </row>
    <row r="30" spans="1:3" x14ac:dyDescent="0.2">
      <c r="A30" t="s">
        <v>30</v>
      </c>
      <c r="B30" s="83">
        <v>4.5</v>
      </c>
      <c r="C30" s="82"/>
    </row>
    <row r="31" spans="1:3" x14ac:dyDescent="0.2">
      <c r="A31" t="s">
        <v>70</v>
      </c>
      <c r="B31" s="83">
        <v>20</v>
      </c>
      <c r="C31" s="82"/>
    </row>
    <row r="32" spans="1:3" x14ac:dyDescent="0.2">
      <c r="B32" s="83"/>
      <c r="C32" s="82"/>
    </row>
    <row r="33" spans="1:3" x14ac:dyDescent="0.2">
      <c r="A33" t="s">
        <v>32</v>
      </c>
      <c r="B33" s="83">
        <v>1.7</v>
      </c>
      <c r="C33" s="82"/>
    </row>
    <row r="34" spans="1:3" x14ac:dyDescent="0.2">
      <c r="A34" t="s">
        <v>82</v>
      </c>
      <c r="B34" s="83">
        <v>10</v>
      </c>
      <c r="C34" s="82"/>
    </row>
    <row r="35" spans="1:3" x14ac:dyDescent="0.2">
      <c r="A35" t="s">
        <v>138</v>
      </c>
      <c r="B35" s="83">
        <v>600</v>
      </c>
      <c r="C35" s="82" t="s">
        <v>140</v>
      </c>
    </row>
    <row r="36" spans="1:3" x14ac:dyDescent="0.2">
      <c r="A36" t="s">
        <v>59</v>
      </c>
      <c r="B36" s="83">
        <v>22.51</v>
      </c>
      <c r="C36" s="82"/>
    </row>
    <row r="37" spans="1:3" x14ac:dyDescent="0.2">
      <c r="B37" s="83"/>
    </row>
    <row r="38" spans="1:3" x14ac:dyDescent="0.2">
      <c r="A38" s="1" t="s">
        <v>80</v>
      </c>
      <c r="B38" s="88"/>
    </row>
    <row r="39" spans="1:3" x14ac:dyDescent="0.2">
      <c r="A39" t="s">
        <v>81</v>
      </c>
      <c r="B39" s="88">
        <v>23</v>
      </c>
    </row>
    <row r="40" spans="1:3" x14ac:dyDescent="0.2">
      <c r="A40" t="s">
        <v>138</v>
      </c>
      <c r="B40" s="88">
        <v>500</v>
      </c>
      <c r="C40" t="s">
        <v>140</v>
      </c>
    </row>
    <row r="41" spans="1:3" x14ac:dyDescent="0.2">
      <c r="A41" t="s">
        <v>33</v>
      </c>
      <c r="B41" s="88">
        <v>42</v>
      </c>
    </row>
    <row r="42" spans="1:3" x14ac:dyDescent="0.2">
      <c r="A42" t="s">
        <v>86</v>
      </c>
      <c r="B42" s="88">
        <v>16.37</v>
      </c>
    </row>
    <row r="43" spans="1:3" x14ac:dyDescent="0.2">
      <c r="B43" s="53"/>
    </row>
    <row r="44" spans="1:3" x14ac:dyDescent="0.2">
      <c r="A44" s="1" t="s">
        <v>85</v>
      </c>
      <c r="B44" s="53"/>
    </row>
    <row r="45" spans="1:3" x14ac:dyDescent="0.2">
      <c r="A45" t="s">
        <v>87</v>
      </c>
      <c r="B45" s="53">
        <v>32.75</v>
      </c>
    </row>
    <row r="46" spans="1:3" x14ac:dyDescent="0.2">
      <c r="A46" t="s">
        <v>88</v>
      </c>
      <c r="B46" s="54">
        <v>0.1</v>
      </c>
      <c r="C46" s="61"/>
    </row>
    <row r="49" spans="1:3" x14ac:dyDescent="0.2">
      <c r="A49" s="1" t="s">
        <v>117</v>
      </c>
    </row>
    <row r="50" spans="1:3" x14ac:dyDescent="0.2">
      <c r="A50" s="16" t="s">
        <v>66</v>
      </c>
      <c r="B50" s="57">
        <v>10</v>
      </c>
      <c r="C50" t="s">
        <v>91</v>
      </c>
    </row>
    <row r="51" spans="1:3" x14ac:dyDescent="0.2">
      <c r="A51" t="s">
        <v>115</v>
      </c>
      <c r="B51" s="57">
        <v>15</v>
      </c>
      <c r="C51" t="s">
        <v>91</v>
      </c>
    </row>
    <row r="52" spans="1:3" x14ac:dyDescent="0.2">
      <c r="A52" t="s">
        <v>116</v>
      </c>
      <c r="B52" s="57">
        <v>30</v>
      </c>
      <c r="C52" t="s">
        <v>91</v>
      </c>
    </row>
    <row r="53" spans="1:3" x14ac:dyDescent="0.2">
      <c r="A53" t="s">
        <v>90</v>
      </c>
      <c r="B53" s="57">
        <v>10</v>
      </c>
      <c r="C53" t="s">
        <v>91</v>
      </c>
    </row>
    <row r="56" spans="1:3" x14ac:dyDescent="0.2">
      <c r="A56" s="1" t="s">
        <v>55</v>
      </c>
    </row>
    <row r="57" spans="1:3" x14ac:dyDescent="0.2">
      <c r="A57" t="s">
        <v>92</v>
      </c>
      <c r="B57" s="52">
        <v>45</v>
      </c>
    </row>
  </sheetData>
  <sheetProtection selectLockedCell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workbookViewId="0">
      <selection activeCell="B9" sqref="B9"/>
    </sheetView>
  </sheetViews>
  <sheetFormatPr defaultRowHeight="12.75" x14ac:dyDescent="0.2"/>
  <cols>
    <col min="1" max="1" width="41.140625" customWidth="1"/>
    <col min="2" max="2" width="12.5703125" style="2" bestFit="1" customWidth="1"/>
    <col min="3" max="3" width="11.7109375" bestFit="1" customWidth="1"/>
    <col min="4" max="4" width="11.85546875" style="2" bestFit="1" customWidth="1"/>
    <col min="5" max="5" width="11" bestFit="1" customWidth="1"/>
    <col min="6" max="6" width="11.7109375" style="2" bestFit="1" customWidth="1"/>
    <col min="7" max="7" width="11" bestFit="1" customWidth="1"/>
    <col min="8" max="8" width="11.7109375" style="2" bestFit="1" customWidth="1"/>
    <col min="9" max="9" width="11" bestFit="1" customWidth="1"/>
    <col min="10" max="10" width="11.7109375" style="2" bestFit="1" customWidth="1"/>
    <col min="11" max="11" width="11" bestFit="1" customWidth="1"/>
  </cols>
  <sheetData>
    <row r="1" spans="1:11" x14ac:dyDescent="0.2">
      <c r="A1" s="1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">
      <c r="A2" s="1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">
      <c r="A3" s="56">
        <f>Trees</f>
        <v>1144</v>
      </c>
      <c r="B3" s="6" t="s">
        <v>97</v>
      </c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56">
        <f>ROUND((A3*0.95),0)</f>
        <v>1087</v>
      </c>
      <c r="B4" s="6" t="s">
        <v>98</v>
      </c>
      <c r="C4" s="6"/>
      <c r="D4" s="6"/>
      <c r="E4" s="6"/>
      <c r="F4" s="6"/>
      <c r="G4" s="6"/>
      <c r="H4" s="6"/>
      <c r="I4" s="6"/>
      <c r="J4" s="6"/>
      <c r="K4" s="6"/>
    </row>
    <row r="5" spans="1:11" x14ac:dyDescent="0.2">
      <c r="A5" s="1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3" customFormat="1" x14ac:dyDescent="0.2">
      <c r="A6" s="5" t="s">
        <v>0</v>
      </c>
      <c r="B6" s="4" t="s">
        <v>1</v>
      </c>
      <c r="C6" s="3" t="s">
        <v>2</v>
      </c>
      <c r="D6" s="4" t="s">
        <v>3</v>
      </c>
      <c r="E6" s="3" t="s">
        <v>4</v>
      </c>
      <c r="F6" s="4" t="s">
        <v>5</v>
      </c>
      <c r="G6" s="3" t="s">
        <v>25</v>
      </c>
      <c r="H6" s="4" t="s">
        <v>6</v>
      </c>
      <c r="I6" s="3" t="s">
        <v>7</v>
      </c>
      <c r="J6" s="4" t="s">
        <v>8</v>
      </c>
      <c r="K6" s="3" t="s">
        <v>9</v>
      </c>
    </row>
    <row r="7" spans="1:11" x14ac:dyDescent="0.2">
      <c r="A7" s="7" t="s">
        <v>14</v>
      </c>
      <c r="B7" s="8"/>
      <c r="C7" s="9"/>
      <c r="D7" s="8"/>
      <c r="E7" s="9"/>
      <c r="F7" s="8"/>
      <c r="G7" s="9"/>
      <c r="H7" s="8"/>
      <c r="I7" s="9"/>
      <c r="J7" s="8"/>
      <c r="K7" s="9"/>
    </row>
    <row r="8" spans="1:11" x14ac:dyDescent="0.2">
      <c r="A8" s="7" t="s">
        <v>52</v>
      </c>
      <c r="B8" s="8">
        <f>A3*Socket</f>
        <v>22880</v>
      </c>
      <c r="C8" s="9"/>
      <c r="D8" s="8"/>
      <c r="E8" s="9"/>
      <c r="F8" s="8"/>
      <c r="G8" s="9"/>
      <c r="H8" s="8"/>
      <c r="I8" s="9"/>
      <c r="J8" s="8"/>
      <c r="K8" s="9"/>
    </row>
    <row r="9" spans="1:11" x14ac:dyDescent="0.2">
      <c r="A9" s="16" t="s">
        <v>24</v>
      </c>
      <c r="B9" s="8">
        <v>1694</v>
      </c>
      <c r="C9" s="9"/>
      <c r="D9" s="8"/>
      <c r="E9" s="9"/>
      <c r="F9" s="8"/>
      <c r="G9" s="9"/>
      <c r="H9" s="8"/>
      <c r="I9" s="9"/>
      <c r="J9" s="8"/>
      <c r="K9" s="9"/>
    </row>
    <row r="10" spans="1:11" ht="14.25" x14ac:dyDescent="0.2">
      <c r="A10" s="7" t="s">
        <v>29</v>
      </c>
      <c r="B10" s="55">
        <f>Irrigation_Total</f>
        <v>8676</v>
      </c>
      <c r="C10" s="9"/>
      <c r="D10" s="8"/>
      <c r="E10" s="9"/>
      <c r="F10" s="8"/>
      <c r="G10" s="9"/>
      <c r="H10" s="8"/>
      <c r="I10" s="9"/>
      <c r="J10" s="8"/>
      <c r="K10" s="9"/>
    </row>
    <row r="11" spans="1:11" s="13" customFormat="1" x14ac:dyDescent="0.2">
      <c r="A11" s="10" t="s">
        <v>11</v>
      </c>
      <c r="B11" s="11">
        <f>SUM(B8:B10)</f>
        <v>33250</v>
      </c>
      <c r="C11" s="12"/>
      <c r="D11" s="11"/>
      <c r="E11" s="12"/>
      <c r="F11" s="11"/>
      <c r="G11" s="12"/>
      <c r="H11" s="11"/>
      <c r="I11" s="12"/>
      <c r="J11" s="11"/>
      <c r="K11" s="12"/>
    </row>
    <row r="12" spans="1:11" x14ac:dyDescent="0.2">
      <c r="B12" s="8"/>
      <c r="C12" s="9"/>
      <c r="D12" s="8"/>
      <c r="E12" s="9"/>
      <c r="F12" s="8"/>
      <c r="G12" s="9"/>
      <c r="H12" s="8"/>
      <c r="I12" s="9"/>
      <c r="J12" s="8"/>
      <c r="K12" s="9"/>
    </row>
    <row r="13" spans="1:11" x14ac:dyDescent="0.2">
      <c r="A13" t="s">
        <v>15</v>
      </c>
      <c r="B13" s="8"/>
      <c r="C13" s="9"/>
      <c r="D13" s="8"/>
      <c r="E13" s="9"/>
      <c r="F13" s="8"/>
      <c r="G13" s="9"/>
      <c r="H13" s="8"/>
      <c r="I13" s="9"/>
      <c r="J13" s="8"/>
      <c r="K13" s="9"/>
    </row>
    <row r="14" spans="1:11" x14ac:dyDescent="0.2">
      <c r="A14" t="s">
        <v>47</v>
      </c>
      <c r="B14" s="8">
        <f>Liner*A3</f>
        <v>11440</v>
      </c>
      <c r="C14" s="8">
        <f t="shared" ref="C14:K14" si="0">$B$14</f>
        <v>11440</v>
      </c>
      <c r="D14" s="8">
        <f t="shared" si="0"/>
        <v>11440</v>
      </c>
      <c r="E14" s="17">
        <f t="shared" si="0"/>
        <v>11440</v>
      </c>
      <c r="F14" s="8">
        <f t="shared" si="0"/>
        <v>11440</v>
      </c>
      <c r="G14" s="17">
        <f t="shared" si="0"/>
        <v>11440</v>
      </c>
      <c r="H14" s="8">
        <f t="shared" si="0"/>
        <v>11440</v>
      </c>
      <c r="I14" s="17">
        <f t="shared" si="0"/>
        <v>11440</v>
      </c>
      <c r="J14" s="8">
        <f t="shared" si="0"/>
        <v>11440</v>
      </c>
      <c r="K14" s="17">
        <f t="shared" si="0"/>
        <v>11440</v>
      </c>
    </row>
    <row r="15" spans="1:11" x14ac:dyDescent="0.2">
      <c r="A15" t="s">
        <v>48</v>
      </c>
      <c r="B15" s="8">
        <f>Insert_Pot*A3</f>
        <v>5148</v>
      </c>
      <c r="C15" s="8">
        <f t="shared" ref="C15:K15" si="1">$B$15</f>
        <v>5148</v>
      </c>
      <c r="D15" s="8">
        <f t="shared" si="1"/>
        <v>5148</v>
      </c>
      <c r="E15" s="17">
        <f t="shared" si="1"/>
        <v>5148</v>
      </c>
      <c r="F15" s="8">
        <f t="shared" si="1"/>
        <v>5148</v>
      </c>
      <c r="G15" s="17">
        <f t="shared" si="1"/>
        <v>5148</v>
      </c>
      <c r="H15" s="8">
        <f t="shared" si="1"/>
        <v>5148</v>
      </c>
      <c r="I15" s="17">
        <f t="shared" si="1"/>
        <v>5148</v>
      </c>
      <c r="J15" s="8">
        <f t="shared" si="1"/>
        <v>5148</v>
      </c>
      <c r="K15" s="17">
        <f t="shared" si="1"/>
        <v>5148</v>
      </c>
    </row>
    <row r="16" spans="1:11" x14ac:dyDescent="0.2">
      <c r="A16" t="s">
        <v>49</v>
      </c>
      <c r="B16" s="8">
        <f>Labor*($A$3*Plant_Time/60)</f>
        <v>1906.6666666666665</v>
      </c>
      <c r="C16" s="8">
        <f t="shared" ref="C16:K16" si="2">Labor*($A$3*Plant_Time/60)</f>
        <v>1906.6666666666665</v>
      </c>
      <c r="D16" s="8">
        <f t="shared" si="2"/>
        <v>1906.6666666666665</v>
      </c>
      <c r="E16" s="17">
        <f t="shared" si="2"/>
        <v>1906.6666666666665</v>
      </c>
      <c r="F16" s="8">
        <f t="shared" si="2"/>
        <v>1906.6666666666665</v>
      </c>
      <c r="G16" s="17">
        <f t="shared" si="2"/>
        <v>1906.6666666666665</v>
      </c>
      <c r="H16" s="8">
        <f t="shared" si="2"/>
        <v>1906.6666666666665</v>
      </c>
      <c r="I16" s="17">
        <f t="shared" si="2"/>
        <v>1906.6666666666665</v>
      </c>
      <c r="J16" s="8">
        <f t="shared" si="2"/>
        <v>1906.6666666666665</v>
      </c>
      <c r="K16" s="17">
        <f t="shared" si="2"/>
        <v>1906.6666666666665</v>
      </c>
    </row>
    <row r="17" spans="1:12" x14ac:dyDescent="0.2">
      <c r="A17" t="s">
        <v>71</v>
      </c>
      <c r="B17" s="8">
        <f>Media_Cost*Media</f>
        <v>1520</v>
      </c>
      <c r="C17" s="8">
        <f t="shared" ref="C17:K17" si="3">Media_Cost*Media</f>
        <v>1520</v>
      </c>
      <c r="D17" s="8">
        <f t="shared" si="3"/>
        <v>1520</v>
      </c>
      <c r="E17" s="17">
        <f t="shared" si="3"/>
        <v>1520</v>
      </c>
      <c r="F17" s="8">
        <f t="shared" si="3"/>
        <v>1520</v>
      </c>
      <c r="G17" s="17">
        <f t="shared" si="3"/>
        <v>1520</v>
      </c>
      <c r="H17" s="8">
        <f t="shared" si="3"/>
        <v>1520</v>
      </c>
      <c r="I17" s="17">
        <f t="shared" si="3"/>
        <v>1520</v>
      </c>
      <c r="J17" s="8">
        <f t="shared" si="3"/>
        <v>1520</v>
      </c>
      <c r="K17" s="17">
        <f t="shared" si="3"/>
        <v>1520</v>
      </c>
    </row>
    <row r="18" spans="1:12" x14ac:dyDescent="0.2">
      <c r="A18" t="s">
        <v>50</v>
      </c>
      <c r="B18" s="8">
        <f>Stake*A3</f>
        <v>1944.8</v>
      </c>
      <c r="C18" s="8">
        <f t="shared" ref="C18:K18" si="4">$B$18</f>
        <v>1944.8</v>
      </c>
      <c r="D18" s="8">
        <f t="shared" si="4"/>
        <v>1944.8</v>
      </c>
      <c r="E18" s="17">
        <f t="shared" si="4"/>
        <v>1944.8</v>
      </c>
      <c r="F18" s="8">
        <f t="shared" si="4"/>
        <v>1944.8</v>
      </c>
      <c r="G18" s="17">
        <f t="shared" si="4"/>
        <v>1944.8</v>
      </c>
      <c r="H18" s="8">
        <f t="shared" si="4"/>
        <v>1944.8</v>
      </c>
      <c r="I18" s="17">
        <f t="shared" si="4"/>
        <v>1944.8</v>
      </c>
      <c r="J18" s="8">
        <f t="shared" si="4"/>
        <v>1944.8</v>
      </c>
      <c r="K18" s="17">
        <f t="shared" si="4"/>
        <v>1944.8</v>
      </c>
    </row>
    <row r="19" spans="1:12" s="58" customFormat="1" x14ac:dyDescent="0.2">
      <c r="A19" s="58" t="s">
        <v>10</v>
      </c>
      <c r="B19" s="55">
        <f>Ribbon</f>
        <v>10</v>
      </c>
      <c r="C19" s="55">
        <f t="shared" ref="C19:K19" si="5">Ribbon</f>
        <v>10</v>
      </c>
      <c r="D19" s="55">
        <f t="shared" si="5"/>
        <v>10</v>
      </c>
      <c r="E19" s="60">
        <f t="shared" si="5"/>
        <v>10</v>
      </c>
      <c r="F19" s="55">
        <f t="shared" si="5"/>
        <v>10</v>
      </c>
      <c r="G19" s="60">
        <f t="shared" si="5"/>
        <v>10</v>
      </c>
      <c r="H19" s="55">
        <f t="shared" si="5"/>
        <v>10</v>
      </c>
      <c r="I19" s="60">
        <f t="shared" si="5"/>
        <v>10</v>
      </c>
      <c r="J19" s="55">
        <f t="shared" si="5"/>
        <v>10</v>
      </c>
      <c r="K19" s="60">
        <f t="shared" si="5"/>
        <v>10</v>
      </c>
    </row>
    <row r="20" spans="1:12" s="58" customFormat="1" x14ac:dyDescent="0.2">
      <c r="A20" s="58" t="s">
        <v>93</v>
      </c>
      <c r="B20" s="55">
        <f>Plant_Equip</f>
        <v>22.51</v>
      </c>
      <c r="C20" s="55">
        <f t="shared" ref="C20:K20" si="6">Plant_Equip</f>
        <v>22.51</v>
      </c>
      <c r="D20" s="55">
        <f t="shared" si="6"/>
        <v>22.51</v>
      </c>
      <c r="E20" s="60">
        <f t="shared" si="6"/>
        <v>22.51</v>
      </c>
      <c r="F20" s="55">
        <f t="shared" si="6"/>
        <v>22.51</v>
      </c>
      <c r="G20" s="60">
        <f t="shared" si="6"/>
        <v>22.51</v>
      </c>
      <c r="H20" s="55">
        <f t="shared" si="6"/>
        <v>22.51</v>
      </c>
      <c r="I20" s="60">
        <f t="shared" si="6"/>
        <v>22.51</v>
      </c>
      <c r="J20" s="55">
        <f t="shared" si="6"/>
        <v>22.51</v>
      </c>
      <c r="K20" s="60">
        <f t="shared" si="6"/>
        <v>22.51</v>
      </c>
    </row>
    <row r="21" spans="1:12" s="13" customFormat="1" x14ac:dyDescent="0.2">
      <c r="A21" s="13" t="s">
        <v>13</v>
      </c>
      <c r="B21" s="11">
        <f>SUM(B14:B20)</f>
        <v>21991.976666666666</v>
      </c>
      <c r="C21" s="11">
        <f t="shared" ref="C21" si="7">SUM(C14:C20)</f>
        <v>21991.976666666666</v>
      </c>
      <c r="D21" s="11">
        <f t="shared" ref="D21:K21" si="8">SUM(D14:D20)</f>
        <v>21991.976666666666</v>
      </c>
      <c r="E21" s="23">
        <f t="shared" si="8"/>
        <v>21991.976666666666</v>
      </c>
      <c r="F21" s="11">
        <f t="shared" si="8"/>
        <v>21991.976666666666</v>
      </c>
      <c r="G21" s="23">
        <f t="shared" si="8"/>
        <v>21991.976666666666</v>
      </c>
      <c r="H21" s="11">
        <f t="shared" si="8"/>
        <v>21991.976666666666</v>
      </c>
      <c r="I21" s="23">
        <f t="shared" si="8"/>
        <v>21991.976666666666</v>
      </c>
      <c r="J21" s="11">
        <f t="shared" si="8"/>
        <v>21991.976666666666</v>
      </c>
      <c r="K21" s="23">
        <f t="shared" si="8"/>
        <v>21991.976666666666</v>
      </c>
    </row>
    <row r="22" spans="1:12" x14ac:dyDescent="0.2">
      <c r="B22" s="8"/>
      <c r="C22" s="9"/>
      <c r="D22" s="8"/>
      <c r="E22" s="9"/>
      <c r="F22" s="8"/>
      <c r="G22" s="9"/>
      <c r="H22" s="8"/>
      <c r="I22" s="9"/>
      <c r="J22" s="8"/>
      <c r="K22" s="9"/>
    </row>
    <row r="23" spans="1:12" x14ac:dyDescent="0.2">
      <c r="A23" t="s">
        <v>16</v>
      </c>
      <c r="B23" s="8"/>
      <c r="C23" s="9"/>
      <c r="D23" s="8"/>
      <c r="E23" s="9"/>
      <c r="F23" s="8"/>
      <c r="G23" s="9"/>
      <c r="H23" s="8"/>
      <c r="I23" s="9"/>
      <c r="J23" s="8"/>
      <c r="K23" s="9"/>
    </row>
    <row r="24" spans="1:12" s="58" customFormat="1" x14ac:dyDescent="0.2">
      <c r="A24" s="58" t="s">
        <v>12</v>
      </c>
      <c r="B24" s="55">
        <f>Pesticide</f>
        <v>23</v>
      </c>
      <c r="C24" s="59">
        <f t="shared" ref="C24:K24" si="9">$B$24</f>
        <v>23</v>
      </c>
      <c r="D24" s="55">
        <f t="shared" si="9"/>
        <v>23</v>
      </c>
      <c r="E24" s="59">
        <f t="shared" si="9"/>
        <v>23</v>
      </c>
      <c r="F24" s="55">
        <f t="shared" si="9"/>
        <v>23</v>
      </c>
      <c r="G24" s="59">
        <f t="shared" si="9"/>
        <v>23</v>
      </c>
      <c r="H24" s="55">
        <f t="shared" si="9"/>
        <v>23</v>
      </c>
      <c r="I24" s="59">
        <f t="shared" si="9"/>
        <v>23</v>
      </c>
      <c r="J24" s="55">
        <f t="shared" si="9"/>
        <v>23</v>
      </c>
      <c r="K24" s="59">
        <f t="shared" si="9"/>
        <v>23</v>
      </c>
    </row>
    <row r="25" spans="1:12" s="58" customFormat="1" ht="14.25" x14ac:dyDescent="0.2">
      <c r="A25" s="58" t="s">
        <v>94</v>
      </c>
      <c r="B25" s="55">
        <f t="shared" ref="B25:K25" si="10">Irrigation</f>
        <v>42</v>
      </c>
      <c r="C25" s="60">
        <f t="shared" si="10"/>
        <v>42</v>
      </c>
      <c r="D25" s="55">
        <f t="shared" si="10"/>
        <v>42</v>
      </c>
      <c r="E25" s="60">
        <f t="shared" si="10"/>
        <v>42</v>
      </c>
      <c r="F25" s="55">
        <f t="shared" si="10"/>
        <v>42</v>
      </c>
      <c r="G25" s="60">
        <f t="shared" si="10"/>
        <v>42</v>
      </c>
      <c r="H25" s="55">
        <f t="shared" si="10"/>
        <v>42</v>
      </c>
      <c r="I25" s="60">
        <f t="shared" si="10"/>
        <v>42</v>
      </c>
      <c r="J25" s="55">
        <f t="shared" si="10"/>
        <v>42</v>
      </c>
      <c r="K25" s="60">
        <f t="shared" si="10"/>
        <v>42</v>
      </c>
    </row>
    <row r="26" spans="1:12" s="58" customFormat="1" x14ac:dyDescent="0.2">
      <c r="A26" s="58" t="s">
        <v>139</v>
      </c>
      <c r="B26" s="55">
        <f>'Instructions, Costs &amp; Variables'!$B$35</f>
        <v>600</v>
      </c>
      <c r="C26" s="60">
        <v>600</v>
      </c>
      <c r="D26" s="55">
        <f>'Instructions, Costs &amp; Variables'!$B$35</f>
        <v>600</v>
      </c>
      <c r="E26" s="60">
        <v>600</v>
      </c>
      <c r="F26" s="55">
        <f>'Instructions, Costs &amp; Variables'!$B$35</f>
        <v>600</v>
      </c>
      <c r="G26" s="60">
        <v>600</v>
      </c>
      <c r="H26" s="55">
        <f>'Instructions, Costs &amp; Variables'!$B$35</f>
        <v>600</v>
      </c>
      <c r="I26" s="60">
        <v>600</v>
      </c>
      <c r="J26" s="55">
        <f>'Instructions, Costs &amp; Variables'!$B$35</f>
        <v>600</v>
      </c>
      <c r="K26" s="60">
        <v>600</v>
      </c>
      <c r="L26" s="60"/>
    </row>
    <row r="27" spans="1:12" x14ac:dyDescent="0.2">
      <c r="A27" t="s">
        <v>26</v>
      </c>
      <c r="B27" s="8"/>
      <c r="C27" s="9"/>
      <c r="D27" s="8"/>
      <c r="E27" s="9"/>
      <c r="F27" s="8"/>
      <c r="G27" s="9"/>
      <c r="H27" s="8"/>
      <c r="I27" s="9"/>
      <c r="J27" s="8"/>
      <c r="K27" s="9"/>
    </row>
    <row r="28" spans="1:12" x14ac:dyDescent="0.2">
      <c r="A28" t="s">
        <v>83</v>
      </c>
      <c r="B28" s="8">
        <f t="shared" ref="B28:K28" si="11">Pruning/60*$A$3*Labor</f>
        <v>2860</v>
      </c>
      <c r="C28" s="17">
        <f t="shared" si="11"/>
        <v>2860</v>
      </c>
      <c r="D28" s="8">
        <f t="shared" si="11"/>
        <v>2860</v>
      </c>
      <c r="E28" s="17">
        <f t="shared" si="11"/>
        <v>2860</v>
      </c>
      <c r="F28" s="8">
        <f t="shared" si="11"/>
        <v>2860</v>
      </c>
      <c r="G28" s="17">
        <f t="shared" si="11"/>
        <v>2860</v>
      </c>
      <c r="H28" s="8">
        <f t="shared" si="11"/>
        <v>2860</v>
      </c>
      <c r="I28" s="17">
        <f t="shared" si="11"/>
        <v>2860</v>
      </c>
      <c r="J28" s="8">
        <f t="shared" si="11"/>
        <v>2860</v>
      </c>
      <c r="K28" s="17">
        <f t="shared" si="11"/>
        <v>2860</v>
      </c>
    </row>
    <row r="29" spans="1:12" x14ac:dyDescent="0.2">
      <c r="A29" t="s">
        <v>84</v>
      </c>
      <c r="B29" s="8">
        <f t="shared" ref="B29:K29" si="12">Maintain/60*$A$3*Labor</f>
        <v>5720</v>
      </c>
      <c r="C29" s="17">
        <f t="shared" si="12"/>
        <v>5720</v>
      </c>
      <c r="D29" s="8">
        <f t="shared" si="12"/>
        <v>5720</v>
      </c>
      <c r="E29" s="17">
        <f t="shared" si="12"/>
        <v>5720</v>
      </c>
      <c r="F29" s="8">
        <f t="shared" si="12"/>
        <v>5720</v>
      </c>
      <c r="G29" s="17">
        <f t="shared" si="12"/>
        <v>5720</v>
      </c>
      <c r="H29" s="8">
        <f t="shared" si="12"/>
        <v>5720</v>
      </c>
      <c r="I29" s="17">
        <f t="shared" si="12"/>
        <v>5720</v>
      </c>
      <c r="J29" s="8">
        <f t="shared" si="12"/>
        <v>5720</v>
      </c>
      <c r="K29" s="17">
        <f t="shared" si="12"/>
        <v>5720</v>
      </c>
    </row>
    <row r="30" spans="1:12" s="58" customFormat="1" ht="14.25" x14ac:dyDescent="0.2">
      <c r="A30" s="58" t="s">
        <v>95</v>
      </c>
      <c r="B30" s="55">
        <f t="shared" ref="B30:K30" si="13">Prod_Eqt</f>
        <v>16.37</v>
      </c>
      <c r="C30" s="60">
        <f t="shared" si="13"/>
        <v>16.37</v>
      </c>
      <c r="D30" s="55">
        <f t="shared" si="13"/>
        <v>16.37</v>
      </c>
      <c r="E30" s="60">
        <f t="shared" si="13"/>
        <v>16.37</v>
      </c>
      <c r="F30" s="55">
        <f t="shared" si="13"/>
        <v>16.37</v>
      </c>
      <c r="G30" s="60">
        <f t="shared" si="13"/>
        <v>16.37</v>
      </c>
      <c r="H30" s="55">
        <f t="shared" si="13"/>
        <v>16.37</v>
      </c>
      <c r="I30" s="60">
        <f t="shared" si="13"/>
        <v>16.37</v>
      </c>
      <c r="J30" s="55">
        <f t="shared" si="13"/>
        <v>16.37</v>
      </c>
      <c r="K30" s="60">
        <f t="shared" si="13"/>
        <v>16.37</v>
      </c>
    </row>
    <row r="31" spans="1:12" s="13" customFormat="1" x14ac:dyDescent="0.2">
      <c r="A31" s="13" t="s">
        <v>18</v>
      </c>
      <c r="B31" s="11">
        <f t="shared" ref="B31:K31" si="14">SUM(B24:B30)</f>
        <v>9261.3700000000008</v>
      </c>
      <c r="C31" s="12">
        <f t="shared" si="14"/>
        <v>9261.3700000000008</v>
      </c>
      <c r="D31" s="11">
        <f t="shared" si="14"/>
        <v>9261.3700000000008</v>
      </c>
      <c r="E31" s="12">
        <f t="shared" si="14"/>
        <v>9261.3700000000008</v>
      </c>
      <c r="F31" s="11">
        <f t="shared" si="14"/>
        <v>9261.3700000000008</v>
      </c>
      <c r="G31" s="12">
        <f t="shared" si="14"/>
        <v>9261.3700000000008</v>
      </c>
      <c r="H31" s="11">
        <f t="shared" si="14"/>
        <v>9261.3700000000008</v>
      </c>
      <c r="I31" s="12">
        <f t="shared" si="14"/>
        <v>9261.3700000000008</v>
      </c>
      <c r="J31" s="11">
        <f t="shared" si="14"/>
        <v>9261.3700000000008</v>
      </c>
      <c r="K31" s="12">
        <f t="shared" si="14"/>
        <v>9261.3700000000008</v>
      </c>
    </row>
    <row r="32" spans="1:12" x14ac:dyDescent="0.2">
      <c r="B32" s="8"/>
      <c r="C32" s="9"/>
      <c r="D32" s="8"/>
      <c r="E32" s="9"/>
      <c r="F32" s="8"/>
      <c r="G32" s="9"/>
      <c r="H32" s="8"/>
      <c r="I32" s="9"/>
      <c r="J32" s="8"/>
      <c r="K32" s="9"/>
    </row>
    <row r="33" spans="1:11" x14ac:dyDescent="0.2">
      <c r="A33" t="s">
        <v>17</v>
      </c>
      <c r="B33" s="8"/>
      <c r="C33" s="9"/>
      <c r="D33" s="8"/>
      <c r="E33" s="9"/>
      <c r="F33" s="8"/>
      <c r="G33" s="9"/>
      <c r="H33" s="8"/>
      <c r="I33" s="9"/>
      <c r="J33" s="8"/>
      <c r="K33" s="9"/>
    </row>
    <row r="34" spans="1:11" ht="16.5" customHeight="1" x14ac:dyDescent="0.2">
      <c r="A34" t="s">
        <v>34</v>
      </c>
      <c r="B34" s="8">
        <f t="shared" ref="B34:K34" si="15">Harvest_Eqt</f>
        <v>32.75</v>
      </c>
      <c r="C34" s="17">
        <f t="shared" si="15"/>
        <v>32.75</v>
      </c>
      <c r="D34" s="8">
        <f t="shared" si="15"/>
        <v>32.75</v>
      </c>
      <c r="E34" s="17">
        <f t="shared" si="15"/>
        <v>32.75</v>
      </c>
      <c r="F34" s="8">
        <f t="shared" si="15"/>
        <v>32.75</v>
      </c>
      <c r="G34" s="17">
        <f t="shared" si="15"/>
        <v>32.75</v>
      </c>
      <c r="H34" s="8">
        <f t="shared" si="15"/>
        <v>32.75</v>
      </c>
      <c r="I34" s="17">
        <f t="shared" si="15"/>
        <v>32.75</v>
      </c>
      <c r="J34" s="8">
        <f t="shared" si="15"/>
        <v>32.75</v>
      </c>
      <c r="K34" s="17">
        <f t="shared" si="15"/>
        <v>32.75</v>
      </c>
    </row>
    <row r="35" spans="1:11" x14ac:dyDescent="0.2">
      <c r="A35" t="s">
        <v>89</v>
      </c>
      <c r="B35" s="8">
        <f t="shared" ref="B35:K35" si="16">Harvest_Labor/60*$A$3*Labor</f>
        <v>1906.6666666666665</v>
      </c>
      <c r="C35" s="17">
        <f t="shared" si="16"/>
        <v>1906.6666666666665</v>
      </c>
      <c r="D35" s="8">
        <f t="shared" si="16"/>
        <v>1906.6666666666665</v>
      </c>
      <c r="E35" s="17">
        <f t="shared" si="16"/>
        <v>1906.6666666666665</v>
      </c>
      <c r="F35" s="8">
        <f t="shared" si="16"/>
        <v>1906.6666666666665</v>
      </c>
      <c r="G35" s="17">
        <f t="shared" si="16"/>
        <v>1906.6666666666665</v>
      </c>
      <c r="H35" s="8">
        <f t="shared" si="16"/>
        <v>1906.6666666666665</v>
      </c>
      <c r="I35" s="17">
        <f t="shared" si="16"/>
        <v>1906.6666666666665</v>
      </c>
      <c r="J35" s="8">
        <f t="shared" si="16"/>
        <v>1906.6666666666665</v>
      </c>
      <c r="K35" s="17">
        <f t="shared" si="16"/>
        <v>1906.6666666666665</v>
      </c>
    </row>
    <row r="36" spans="1:11" x14ac:dyDescent="0.2">
      <c r="A36" t="s">
        <v>51</v>
      </c>
      <c r="B36" s="8">
        <f t="shared" ref="B36:K36" si="17">Mkt*Price*Trees</f>
        <v>5148</v>
      </c>
      <c r="C36" s="17">
        <f t="shared" si="17"/>
        <v>5148</v>
      </c>
      <c r="D36" s="8">
        <f t="shared" si="17"/>
        <v>5148</v>
      </c>
      <c r="E36" s="17">
        <f t="shared" si="17"/>
        <v>5148</v>
      </c>
      <c r="F36" s="8">
        <f t="shared" si="17"/>
        <v>5148</v>
      </c>
      <c r="G36" s="17">
        <f t="shared" si="17"/>
        <v>5148</v>
      </c>
      <c r="H36" s="8">
        <f t="shared" si="17"/>
        <v>5148</v>
      </c>
      <c r="I36" s="17">
        <f t="shared" si="17"/>
        <v>5148</v>
      </c>
      <c r="J36" s="8">
        <f t="shared" si="17"/>
        <v>5148</v>
      </c>
      <c r="K36" s="17">
        <f t="shared" si="17"/>
        <v>5148</v>
      </c>
    </row>
    <row r="37" spans="1:11" s="13" customFormat="1" x14ac:dyDescent="0.2">
      <c r="A37" s="13" t="s">
        <v>19</v>
      </c>
      <c r="B37" s="11">
        <f t="shared" ref="B37" si="18">SUM(B34:B36)</f>
        <v>7087.4166666666661</v>
      </c>
      <c r="C37" s="23">
        <f t="shared" ref="C37:K37" si="19">SUM(C34:C36)</f>
        <v>7087.4166666666661</v>
      </c>
      <c r="D37" s="11">
        <f t="shared" si="19"/>
        <v>7087.4166666666661</v>
      </c>
      <c r="E37" s="23">
        <f t="shared" si="19"/>
        <v>7087.4166666666661</v>
      </c>
      <c r="F37" s="11">
        <f t="shared" si="19"/>
        <v>7087.4166666666661</v>
      </c>
      <c r="G37" s="23">
        <f t="shared" si="19"/>
        <v>7087.4166666666661</v>
      </c>
      <c r="H37" s="11">
        <f t="shared" si="19"/>
        <v>7087.4166666666661</v>
      </c>
      <c r="I37" s="23">
        <f t="shared" si="19"/>
        <v>7087.4166666666661</v>
      </c>
      <c r="J37" s="11">
        <f t="shared" si="19"/>
        <v>7087.4166666666661</v>
      </c>
      <c r="K37" s="23">
        <f t="shared" si="19"/>
        <v>7087.4166666666661</v>
      </c>
    </row>
    <row r="38" spans="1:11" x14ac:dyDescent="0.2">
      <c r="A38" s="13"/>
      <c r="B38" s="8"/>
      <c r="C38" s="9"/>
      <c r="D38" s="8"/>
      <c r="E38" s="9"/>
      <c r="F38" s="8"/>
      <c r="G38" s="9"/>
      <c r="H38" s="8"/>
      <c r="I38" s="9"/>
      <c r="J38" s="8"/>
      <c r="K38" s="9"/>
    </row>
    <row r="39" spans="1:11" s="18" customFormat="1" ht="15" x14ac:dyDescent="0.25">
      <c r="A39" s="18" t="s">
        <v>27</v>
      </c>
      <c r="B39" s="19">
        <f>SUM(B37,B31,B21,B11)</f>
        <v>71590.763333333336</v>
      </c>
      <c r="C39" s="20">
        <f>SUM(C37,C31,C21,C11)</f>
        <v>38340.763333333336</v>
      </c>
      <c r="D39" s="19">
        <f t="shared" ref="D39:K39" si="20">SUM(D37,D31,D21,D11)</f>
        <v>38340.763333333336</v>
      </c>
      <c r="E39" s="20">
        <f t="shared" si="20"/>
        <v>38340.763333333336</v>
      </c>
      <c r="F39" s="19">
        <f t="shared" si="20"/>
        <v>38340.763333333336</v>
      </c>
      <c r="G39" s="20">
        <f t="shared" si="20"/>
        <v>38340.763333333336</v>
      </c>
      <c r="H39" s="19">
        <f t="shared" si="20"/>
        <v>38340.763333333336</v>
      </c>
      <c r="I39" s="20">
        <f t="shared" si="20"/>
        <v>38340.763333333336</v>
      </c>
      <c r="J39" s="19">
        <f t="shared" si="20"/>
        <v>38340.763333333336</v>
      </c>
      <c r="K39" s="20">
        <f t="shared" si="20"/>
        <v>38340.763333333336</v>
      </c>
    </row>
    <row r="40" spans="1:11" x14ac:dyDescent="0.2">
      <c r="B40" s="8"/>
      <c r="C40" s="9"/>
      <c r="D40" s="8"/>
      <c r="E40" s="9"/>
      <c r="F40" s="8"/>
      <c r="G40" s="9"/>
      <c r="H40" s="8"/>
      <c r="I40" s="9"/>
      <c r="J40" s="8"/>
      <c r="K40" s="9"/>
    </row>
    <row r="41" spans="1:11" x14ac:dyDescent="0.2">
      <c r="A41" s="16"/>
      <c r="B41" s="8"/>
      <c r="C41" s="9"/>
      <c r="D41" s="8"/>
      <c r="E41" s="9"/>
      <c r="F41" s="8"/>
      <c r="G41" s="9"/>
      <c r="H41" s="8"/>
      <c r="I41" s="9"/>
      <c r="J41" s="8"/>
      <c r="K41" s="9"/>
    </row>
    <row r="42" spans="1:11" x14ac:dyDescent="0.2">
      <c r="A42" s="1" t="s">
        <v>35</v>
      </c>
      <c r="B42" s="8"/>
      <c r="C42" s="9"/>
      <c r="D42" s="8"/>
      <c r="E42" s="9"/>
      <c r="F42" s="8"/>
      <c r="G42" s="9"/>
      <c r="H42" s="8"/>
      <c r="I42" s="9"/>
      <c r="J42" s="8"/>
      <c r="K42" s="9"/>
    </row>
    <row r="43" spans="1:11" x14ac:dyDescent="0.2">
      <c r="A43" t="s">
        <v>99</v>
      </c>
      <c r="B43" s="17">
        <f t="shared" ref="B43:K43" si="21">$A$4*Price</f>
        <v>48915</v>
      </c>
      <c r="C43" s="17">
        <f t="shared" si="21"/>
        <v>48915</v>
      </c>
      <c r="D43" s="8">
        <f t="shared" si="21"/>
        <v>48915</v>
      </c>
      <c r="E43" s="17">
        <f t="shared" si="21"/>
        <v>48915</v>
      </c>
      <c r="F43" s="8">
        <f t="shared" si="21"/>
        <v>48915</v>
      </c>
      <c r="G43" s="17">
        <f t="shared" si="21"/>
        <v>48915</v>
      </c>
      <c r="H43" s="8">
        <f t="shared" si="21"/>
        <v>48915</v>
      </c>
      <c r="I43" s="17">
        <f t="shared" si="21"/>
        <v>48915</v>
      </c>
      <c r="J43" s="8">
        <f t="shared" si="21"/>
        <v>48915</v>
      </c>
      <c r="K43" s="17">
        <f t="shared" si="21"/>
        <v>48915</v>
      </c>
    </row>
    <row r="44" spans="1:11" ht="3" customHeight="1" x14ac:dyDescent="0.2">
      <c r="B44" s="8"/>
      <c r="C44" s="9"/>
      <c r="D44" s="8"/>
      <c r="E44" s="9"/>
      <c r="F44" s="8"/>
      <c r="G44" s="9"/>
      <c r="H44" s="8"/>
      <c r="I44" s="9"/>
      <c r="J44" s="8"/>
      <c r="K44" s="9"/>
    </row>
    <row r="45" spans="1:11" s="15" customFormat="1" ht="15.75" x14ac:dyDescent="0.25">
      <c r="A45" s="15" t="s">
        <v>36</v>
      </c>
      <c r="B45" s="22">
        <f t="shared" ref="B45:K45" si="22">B43</f>
        <v>48915</v>
      </c>
      <c r="C45" s="22">
        <f t="shared" si="22"/>
        <v>48915</v>
      </c>
      <c r="D45" s="21">
        <f t="shared" si="22"/>
        <v>48915</v>
      </c>
      <c r="E45" s="22">
        <f t="shared" si="22"/>
        <v>48915</v>
      </c>
      <c r="F45" s="21">
        <f t="shared" si="22"/>
        <v>48915</v>
      </c>
      <c r="G45" s="22">
        <f t="shared" si="22"/>
        <v>48915</v>
      </c>
      <c r="H45" s="21">
        <f t="shared" si="22"/>
        <v>48915</v>
      </c>
      <c r="I45" s="22">
        <f t="shared" si="22"/>
        <v>48915</v>
      </c>
      <c r="J45" s="21">
        <f t="shared" si="22"/>
        <v>48915</v>
      </c>
      <c r="K45" s="22">
        <f t="shared" si="22"/>
        <v>48915</v>
      </c>
    </row>
    <row r="46" spans="1:11" x14ac:dyDescent="0.2">
      <c r="A46" s="1"/>
      <c r="B46" s="8"/>
      <c r="C46" s="9"/>
      <c r="D46" s="8"/>
      <c r="E46" s="9"/>
      <c r="F46" s="8"/>
      <c r="G46" s="9"/>
      <c r="H46" s="8"/>
      <c r="I46" s="9"/>
      <c r="J46" s="8"/>
      <c r="K46" s="9"/>
    </row>
    <row r="47" spans="1:11" x14ac:dyDescent="0.2">
      <c r="B47" s="8"/>
      <c r="C47" s="9"/>
      <c r="D47" s="8"/>
      <c r="E47" s="9"/>
      <c r="F47" s="8"/>
      <c r="G47" s="9"/>
      <c r="H47" s="8"/>
      <c r="I47" s="9"/>
      <c r="J47" s="8"/>
      <c r="K47" s="9"/>
    </row>
    <row r="48" spans="1:11" s="27" customFormat="1" ht="21.75" customHeight="1" x14ac:dyDescent="0.2">
      <c r="A48" s="24" t="s">
        <v>23</v>
      </c>
      <c r="B48" s="25">
        <f>B45-B39</f>
        <v>-22675.763333333336</v>
      </c>
      <c r="C48" s="26">
        <f t="shared" ref="C48:K48" si="23">C45-C39</f>
        <v>10574.236666666664</v>
      </c>
      <c r="D48" s="25">
        <f t="shared" si="23"/>
        <v>10574.236666666664</v>
      </c>
      <c r="E48" s="26">
        <f t="shared" si="23"/>
        <v>10574.236666666664</v>
      </c>
      <c r="F48" s="25">
        <f t="shared" si="23"/>
        <v>10574.236666666664</v>
      </c>
      <c r="G48" s="26">
        <f t="shared" si="23"/>
        <v>10574.236666666664</v>
      </c>
      <c r="H48" s="25">
        <f t="shared" si="23"/>
        <v>10574.236666666664</v>
      </c>
      <c r="I48" s="26">
        <f t="shared" si="23"/>
        <v>10574.236666666664</v>
      </c>
      <c r="J48" s="25">
        <f t="shared" si="23"/>
        <v>10574.236666666664</v>
      </c>
      <c r="K48" s="26">
        <f t="shared" si="23"/>
        <v>10574.236666666664</v>
      </c>
    </row>
    <row r="50" spans="1:12" s="28" customFormat="1" ht="21.75" customHeight="1" x14ac:dyDescent="0.2">
      <c r="A50" s="28" t="s">
        <v>20</v>
      </c>
      <c r="B50" s="29">
        <f>B48</f>
        <v>-22675.763333333336</v>
      </c>
      <c r="C50" s="30">
        <f t="shared" ref="C50:K50" si="24">B50+C48</f>
        <v>-12101.526666666672</v>
      </c>
      <c r="D50" s="29">
        <f t="shared" si="24"/>
        <v>-1527.2900000000081</v>
      </c>
      <c r="E50" s="30">
        <f t="shared" si="24"/>
        <v>9046.9466666666558</v>
      </c>
      <c r="F50" s="29">
        <f t="shared" si="24"/>
        <v>19621.18333333332</v>
      </c>
      <c r="G50" s="30">
        <f t="shared" si="24"/>
        <v>30195.419999999984</v>
      </c>
      <c r="H50" s="29">
        <f t="shared" si="24"/>
        <v>40769.656666666648</v>
      </c>
      <c r="I50" s="30">
        <f t="shared" si="24"/>
        <v>51343.893333333312</v>
      </c>
      <c r="J50" s="29">
        <f t="shared" si="24"/>
        <v>61918.129999999976</v>
      </c>
      <c r="K50" s="30">
        <f t="shared" si="24"/>
        <v>72492.36666666664</v>
      </c>
    </row>
    <row r="53" spans="1:12" x14ac:dyDescent="0.2">
      <c r="A53" s="1" t="s">
        <v>38</v>
      </c>
    </row>
    <row r="54" spans="1:12" x14ac:dyDescent="0.2">
      <c r="A54" t="s">
        <v>39</v>
      </c>
      <c r="B54" s="40">
        <f>B11/A3</f>
        <v>29.064685314685313</v>
      </c>
    </row>
    <row r="55" spans="1:12" x14ac:dyDescent="0.2">
      <c r="A55" t="s">
        <v>41</v>
      </c>
      <c r="B55" s="39">
        <f>B21/A3</f>
        <v>19.223755827505826</v>
      </c>
    </row>
    <row r="56" spans="1:12" x14ac:dyDescent="0.2">
      <c r="A56" t="s">
        <v>40</v>
      </c>
      <c r="B56" s="39">
        <f>B31/A3</f>
        <v>8.0956031468531471</v>
      </c>
    </row>
    <row r="57" spans="1:12" x14ac:dyDescent="0.2">
      <c r="A57" t="s">
        <v>42</v>
      </c>
      <c r="B57" s="39">
        <f>C37/A3</f>
        <v>6.1952942890442886</v>
      </c>
    </row>
    <row r="59" spans="1:12" x14ac:dyDescent="0.2">
      <c r="A59" s="38" t="s">
        <v>53</v>
      </c>
      <c r="B59" s="41">
        <v>0.02</v>
      </c>
      <c r="C59" s="35">
        <v>0.05</v>
      </c>
      <c r="D59" s="34">
        <v>7.0000000000000007E-2</v>
      </c>
      <c r="E59" s="35">
        <v>0.09</v>
      </c>
    </row>
    <row r="60" spans="1:12" x14ac:dyDescent="0.2">
      <c r="A60" s="38" t="s">
        <v>37</v>
      </c>
      <c r="B60" s="36">
        <f>NPV(B59,$B$48,$C$48,$D$48,$E$48,$F$48,$G$48,$H$48,$I$48,$J$48,$K$48)</f>
        <v>62385.940518770578</v>
      </c>
      <c r="C60" s="37">
        <f>NPV(C59,$B$48,$C$48,$D$48,$E$48,$F$48,$G$48,$H$48,$I$48,$J$48,$K$48)</f>
        <v>49984.785951800084</v>
      </c>
      <c r="D60" s="36">
        <f>NPV(D59,$B$48,$C$48,$D$48,$E$48,$F$48,$G$48,$H$48,$I$48,$J$48,$K$48)</f>
        <v>43194.247106312461</v>
      </c>
      <c r="E60" s="37">
        <f>NPV(E59,$B$48,$C$48,$D$48,$E$48,$F$48,$G$48,$H$48,$I$48,$J$48,$K$48)</f>
        <v>37357.244221747962</v>
      </c>
    </row>
    <row r="61" spans="1:12" x14ac:dyDescent="0.2">
      <c r="A61" s="38"/>
      <c r="B61" s="31"/>
      <c r="C61" s="33"/>
      <c r="D61" s="32"/>
    </row>
    <row r="63" spans="1:12" x14ac:dyDescent="0.2">
      <c r="B63" s="6"/>
      <c r="C63" s="6"/>
      <c r="D63" s="6"/>
      <c r="E63" s="6"/>
      <c r="F63" s="6"/>
      <c r="H63" s="6"/>
      <c r="I63" s="6"/>
      <c r="J63" s="6"/>
      <c r="K63" s="6"/>
      <c r="L63" s="6"/>
    </row>
    <row r="64" spans="1:12" ht="14.25" x14ac:dyDescent="0.2">
      <c r="A64" s="14" t="s">
        <v>96</v>
      </c>
      <c r="B64" s="6"/>
      <c r="C64" s="6"/>
      <c r="D64" s="6"/>
      <c r="E64" s="6"/>
      <c r="F64" s="6"/>
      <c r="H64" s="6"/>
      <c r="I64" s="6"/>
      <c r="J64" s="6"/>
      <c r="K64" s="6"/>
      <c r="L64" s="6"/>
    </row>
    <row r="65" spans="1:12" ht="14.25" x14ac:dyDescent="0.2">
      <c r="A65" s="14" t="s">
        <v>137</v>
      </c>
      <c r="B65" s="6"/>
      <c r="C65" s="6"/>
      <c r="D65" s="6"/>
      <c r="E65" s="6"/>
      <c r="F65" s="6"/>
      <c r="H65" s="6"/>
      <c r="I65" s="6"/>
      <c r="J65" s="6"/>
      <c r="K65" s="6"/>
      <c r="L65" s="6"/>
    </row>
    <row r="66" spans="1:12" x14ac:dyDescent="0.2">
      <c r="B66" s="6"/>
      <c r="C66" s="6"/>
      <c r="D66" s="6"/>
      <c r="E66" s="6"/>
      <c r="F66" s="6"/>
      <c r="H66" s="6"/>
      <c r="I66" s="6"/>
      <c r="J66" s="6"/>
      <c r="K66" s="6"/>
      <c r="L66" s="6"/>
    </row>
    <row r="67" spans="1:12" ht="27.75" customHeight="1" x14ac:dyDescent="0.2">
      <c r="A67" s="106" t="s">
        <v>21</v>
      </c>
      <c r="B67" s="107"/>
      <c r="C67" s="107"/>
      <c r="D67" s="107"/>
      <c r="E67" s="107"/>
      <c r="F67" s="107"/>
      <c r="G67" s="107"/>
      <c r="H67" s="6"/>
      <c r="I67" s="6"/>
      <c r="J67" s="6"/>
      <c r="K67" s="6"/>
      <c r="L67" s="6"/>
    </row>
    <row r="68" spans="1:12" ht="14.25" x14ac:dyDescent="0.2">
      <c r="A68" s="14" t="s">
        <v>22</v>
      </c>
      <c r="B68" s="6"/>
      <c r="C68" s="6"/>
      <c r="D68" s="6"/>
      <c r="E68" s="6"/>
      <c r="F68" s="6"/>
      <c r="H68" s="6"/>
      <c r="I68" s="6"/>
      <c r="J68" s="6"/>
      <c r="K68" s="6"/>
      <c r="L68" s="6"/>
    </row>
    <row r="69" spans="1:12" x14ac:dyDescent="0.2">
      <c r="B69" s="6"/>
      <c r="C69" s="6"/>
      <c r="D69" s="6"/>
      <c r="E69" s="6"/>
      <c r="F69" s="6"/>
      <c r="H69" s="6"/>
      <c r="I69" s="6"/>
      <c r="J69" s="6"/>
      <c r="K69" s="6"/>
      <c r="L69" s="6"/>
    </row>
  </sheetData>
  <mergeCells count="1">
    <mergeCell ref="A67:G67"/>
  </mergeCells>
  <pageMargins left="0.75" right="0.75" top="1" bottom="1" header="0.5" footer="0.5"/>
  <pageSetup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A12" sqref="A12"/>
    </sheetView>
  </sheetViews>
  <sheetFormatPr defaultRowHeight="12.75" x14ac:dyDescent="0.2"/>
  <cols>
    <col min="2" max="2" width="12" bestFit="1" customWidth="1"/>
    <col min="3" max="3" width="11.28515625" bestFit="1" customWidth="1"/>
    <col min="4" max="4" width="9.28515625" bestFit="1" customWidth="1"/>
    <col min="5" max="5" width="9.7109375" bestFit="1" customWidth="1"/>
    <col min="6" max="6" width="9.28515625" bestFit="1" customWidth="1"/>
    <col min="7" max="7" width="9.7109375" bestFit="1" customWidth="1"/>
    <col min="8" max="8" width="9.28515625" bestFit="1" customWidth="1"/>
    <col min="9" max="9" width="9.7109375" bestFit="1" customWidth="1"/>
    <col min="10" max="10" width="9.28515625" bestFit="1" customWidth="1"/>
    <col min="11" max="11" width="9.7109375" bestFit="1" customWidth="1"/>
    <col min="13" max="13" width="11.7109375" customWidth="1"/>
    <col min="14" max="14" width="24.85546875" customWidth="1"/>
    <col min="15" max="15" width="18.85546875" customWidth="1"/>
    <col min="16" max="18" width="11.7109375" bestFit="1" customWidth="1"/>
  </cols>
  <sheetData>
    <row r="1" spans="1:18" x14ac:dyDescent="0.2">
      <c r="A1" t="s">
        <v>45</v>
      </c>
    </row>
    <row r="2" spans="1:18" x14ac:dyDescent="0.2">
      <c r="A2">
        <f>'Statement of Cash Flows'!A4</f>
        <v>1087</v>
      </c>
      <c r="B2" t="s">
        <v>43</v>
      </c>
    </row>
    <row r="3" spans="1:18" x14ac:dyDescent="0.2">
      <c r="B3" s="42"/>
      <c r="C3" s="42"/>
      <c r="D3" s="42"/>
      <c r="E3" s="42"/>
      <c r="F3" s="42"/>
      <c r="G3" s="43" t="s">
        <v>44</v>
      </c>
      <c r="H3" s="42"/>
      <c r="I3" s="42"/>
      <c r="J3" s="42"/>
      <c r="K3" s="42"/>
      <c r="M3" t="s">
        <v>46</v>
      </c>
      <c r="O3" s="63" t="s">
        <v>100</v>
      </c>
      <c r="P3" s="63"/>
      <c r="Q3" s="63"/>
      <c r="R3" s="63"/>
    </row>
    <row r="4" spans="1:18" x14ac:dyDescent="0.2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O4" s="61">
        <v>0.02</v>
      </c>
      <c r="P4" s="61">
        <v>0.05</v>
      </c>
      <c r="Q4" s="61">
        <v>7.0000000000000007E-2</v>
      </c>
      <c r="R4" s="61">
        <v>0.09</v>
      </c>
    </row>
    <row r="5" spans="1:18" x14ac:dyDescent="0.2">
      <c r="A5" s="33">
        <v>40</v>
      </c>
      <c r="B5" s="44">
        <f>($A5*$A$2)-'Statement of Cash Flows'!$B$39</f>
        <v>-28110.763333333336</v>
      </c>
      <c r="C5" s="44">
        <f>($A5*$A$2)-'Statement of Cash Flows'!$C$39</f>
        <v>5139.236666666664</v>
      </c>
      <c r="D5" s="44">
        <f>($A5*$A$2)-'Statement of Cash Flows'!$D$39</f>
        <v>5139.236666666664</v>
      </c>
      <c r="E5" s="44">
        <f>($A5*$A$2)-'Statement of Cash Flows'!$E$39</f>
        <v>5139.236666666664</v>
      </c>
      <c r="F5" s="44">
        <f>($A5*$A$2)-'Statement of Cash Flows'!$F$39</f>
        <v>5139.236666666664</v>
      </c>
      <c r="G5" s="44">
        <f>($A5*$A$2)-'Statement of Cash Flows'!$G$39</f>
        <v>5139.236666666664</v>
      </c>
      <c r="H5" s="44">
        <f>($A5*$A$2)-'Statement of Cash Flows'!$H$39</f>
        <v>5139.236666666664</v>
      </c>
      <c r="I5" s="44">
        <f>($A5*$A$2)-'Statement of Cash Flows'!$I$39</f>
        <v>5139.236666666664</v>
      </c>
      <c r="J5" s="44">
        <f>($A5*$A$2)-'Statement of Cash Flows'!$J$39</f>
        <v>5139.236666666664</v>
      </c>
      <c r="K5" s="44">
        <f>($A5*$A$2)-'Statement of Cash Flows'!$K$39</f>
        <v>5139.236666666664</v>
      </c>
      <c r="M5" s="45">
        <f t="shared" ref="M5:M10" si="0">SUM(B5:K5)</f>
        <v>18142.36666666664</v>
      </c>
      <c r="O5" s="61"/>
      <c r="P5" s="61"/>
      <c r="Q5" s="61"/>
      <c r="R5" s="61"/>
    </row>
    <row r="6" spans="1:18" x14ac:dyDescent="0.2">
      <c r="A6" s="33">
        <v>45</v>
      </c>
      <c r="B6" s="44">
        <f>($A6*$A$2)-'Statement of Cash Flows'!$B$39</f>
        <v>-22675.763333333336</v>
      </c>
      <c r="C6" s="44">
        <f>($A6*$A$2)-'Statement of Cash Flows'!$C$39</f>
        <v>10574.236666666664</v>
      </c>
      <c r="D6" s="44">
        <f>($A6*$A$2)-'Statement of Cash Flows'!$D$39</f>
        <v>10574.236666666664</v>
      </c>
      <c r="E6" s="44">
        <f>($A6*$A$2)-'Statement of Cash Flows'!$E$39</f>
        <v>10574.236666666664</v>
      </c>
      <c r="F6" s="44">
        <f>($A6*$A$2)-'Statement of Cash Flows'!$F$39</f>
        <v>10574.236666666664</v>
      </c>
      <c r="G6" s="44">
        <f>($A6*$A$2)-'Statement of Cash Flows'!$G$39</f>
        <v>10574.236666666664</v>
      </c>
      <c r="H6" s="44">
        <f>($A6*$A$2)-'Statement of Cash Flows'!$H$39</f>
        <v>10574.236666666664</v>
      </c>
      <c r="I6" s="44">
        <f>($A6*$A$2)-'Statement of Cash Flows'!$I$39</f>
        <v>10574.236666666664</v>
      </c>
      <c r="J6" s="44">
        <f>($A6*$A$2)-'Statement of Cash Flows'!$J$39</f>
        <v>10574.236666666664</v>
      </c>
      <c r="K6" s="44">
        <f>($A6*$A$2)-'Statement of Cash Flows'!$K$39</f>
        <v>10574.236666666664</v>
      </c>
      <c r="M6" s="45">
        <f t="shared" si="0"/>
        <v>72492.36666666664</v>
      </c>
      <c r="O6" s="62">
        <f>NPV($O$4,B6,C6,D6,E6,F6,G6,H6,I6,J6,K6)</f>
        <v>62385.940518770578</v>
      </c>
      <c r="P6" s="62">
        <f>NPV(P4,$B$6,$C$6,$D$6,$E$6,$F$6,$G$6,$H$6,$I$6,$J$6,$K$6)</f>
        <v>49984.785951800084</v>
      </c>
      <c r="Q6" s="62">
        <f>NPV(Q4,$B$6,$C$6,$D$6,$E$6,$F$6,$G$6,$H$6,$I$6,$J$6,$K$6)</f>
        <v>43194.247106312461</v>
      </c>
      <c r="R6" s="62">
        <f>NPV(R4,$B$6,$C$6,$D$6,$E$6,$F$6,$G$6,$H$6,$I$6,$J$6,$K$6)</f>
        <v>37357.244221747962</v>
      </c>
    </row>
    <row r="7" spans="1:18" x14ac:dyDescent="0.2">
      <c r="A7" s="33">
        <v>50</v>
      </c>
      <c r="B7" s="44">
        <f>($A7*$A$2)-'Statement of Cash Flows'!$B$39</f>
        <v>-17240.763333333336</v>
      </c>
      <c r="C7" s="44">
        <f>($A7*$A$2)-'Statement of Cash Flows'!$C$39</f>
        <v>16009.236666666664</v>
      </c>
      <c r="D7" s="44">
        <f>($A7*$A$2)-'Statement of Cash Flows'!$D$39</f>
        <v>16009.236666666664</v>
      </c>
      <c r="E7" s="44">
        <f>($A7*$A$2)-'Statement of Cash Flows'!$E$39</f>
        <v>16009.236666666664</v>
      </c>
      <c r="F7" s="44">
        <f>($A7*$A$2)-'Statement of Cash Flows'!$F$39</f>
        <v>16009.236666666664</v>
      </c>
      <c r="G7" s="44">
        <f>($A7*$A$2)-'Statement of Cash Flows'!$G$39</f>
        <v>16009.236666666664</v>
      </c>
      <c r="H7" s="44">
        <f>($A7*$A$2)-'Statement of Cash Flows'!$H$39</f>
        <v>16009.236666666664</v>
      </c>
      <c r="I7" s="44">
        <f>($A7*$A$2)-'Statement of Cash Flows'!$I$39</f>
        <v>16009.236666666664</v>
      </c>
      <c r="J7" s="44">
        <f>($A7*$A$2)-'Statement of Cash Flows'!$J$39</f>
        <v>16009.236666666664</v>
      </c>
      <c r="K7" s="44">
        <f>($A7*$A$2)-'Statement of Cash Flows'!$K$39</f>
        <v>16009.236666666664</v>
      </c>
      <c r="M7" s="45">
        <f t="shared" si="0"/>
        <v>126842.36666666664</v>
      </c>
      <c r="O7" s="62">
        <f>NPV(O4,$B$7,$C$7,$D$7,$E$7,$F$7,$G$7,$H$7,$I$7,$J$7,$K$7)</f>
        <v>111206.29002769713</v>
      </c>
      <c r="P7" s="62">
        <f>NPV(P4,$B$7,$C$7,$D$7,$E$7,$F$7,$G$7,$H$7,$I$7,$J$7,$K$7)</f>
        <v>91952.415291919533</v>
      </c>
      <c r="Q7" s="62">
        <f>NPV(Q4,$B$7,$C$7,$D$7,$E$7,$F$7,$G$7,$H$7,$I$7,$J$7,$K$7)</f>
        <v>81367.412781281149</v>
      </c>
      <c r="R7" s="62">
        <f>NPV(R4,$B$7,$C$7,$D$7,$E$7,$F$7,$G$7,$H$7,$I$7,$J$7,$K$7)</f>
        <v>72237.213827547166</v>
      </c>
    </row>
    <row r="8" spans="1:18" x14ac:dyDescent="0.2">
      <c r="A8" s="33">
        <v>55</v>
      </c>
      <c r="B8" s="44">
        <f>($A8*$A$2)-'Statement of Cash Flows'!$B$39</f>
        <v>-11805.763333333336</v>
      </c>
      <c r="C8" s="44">
        <f>($A8*$A$2)-'Statement of Cash Flows'!$C$39</f>
        <v>21444.236666666664</v>
      </c>
      <c r="D8" s="44">
        <f>($A8*$A$2)-'Statement of Cash Flows'!$D$39</f>
        <v>21444.236666666664</v>
      </c>
      <c r="E8" s="44">
        <f>($A8*$A$2)-'Statement of Cash Flows'!$E$39</f>
        <v>21444.236666666664</v>
      </c>
      <c r="F8" s="44">
        <f>($A8*$A$2)-'Statement of Cash Flows'!$F$39</f>
        <v>21444.236666666664</v>
      </c>
      <c r="G8" s="44">
        <f>($A8*$A$2)-'Statement of Cash Flows'!$G$39</f>
        <v>21444.236666666664</v>
      </c>
      <c r="H8" s="44">
        <f>($A8*$A$2)-'Statement of Cash Flows'!$H$39</f>
        <v>21444.236666666664</v>
      </c>
      <c r="I8" s="44">
        <f>($A8*$A$2)-'Statement of Cash Flows'!$I$39</f>
        <v>21444.236666666664</v>
      </c>
      <c r="J8" s="44">
        <f>($A8*$A$2)-'Statement of Cash Flows'!$J$39</f>
        <v>21444.236666666664</v>
      </c>
      <c r="K8" s="44">
        <f>($A8*$A$2)-'Statement of Cash Flows'!$K$39</f>
        <v>21444.236666666664</v>
      </c>
      <c r="M8" s="45">
        <f t="shared" si="0"/>
        <v>181192.36666666664</v>
      </c>
      <c r="O8" s="62">
        <f>NPV(O4,$B$8,$C$8,$D$8,$E$8,$F$8,$G$8,$H$8,$I$8,$J$8,$K$8)</f>
        <v>160026.6395366237</v>
      </c>
      <c r="P8" s="62">
        <f>NPV(P4,$B$8,$C$8,$D$8,$E$8,$F$8,$G$8,$H$8,$I$8,$J$8,$K$8)</f>
        <v>133920.04463203897</v>
      </c>
      <c r="Q8" s="62">
        <f>NPV(Q4,$B$8,$C$8,$D$8,$E$8,$F$8,$G$8,$H$8,$I$8,$J$8,$K$8)</f>
        <v>119540.57845624984</v>
      </c>
      <c r="R8" s="62">
        <f>NPV(R4,$B$8,$C$8,$D$8,$E$8,$F$8,$G$8,$H$8,$I$8,$J$8,$K$8)</f>
        <v>107117.18343334636</v>
      </c>
    </row>
    <row r="9" spans="1:18" x14ac:dyDescent="0.2">
      <c r="A9" s="33">
        <v>60</v>
      </c>
      <c r="B9" s="44">
        <f>($A9*$A$2)-'Statement of Cash Flows'!$B$39</f>
        <v>-6370.763333333336</v>
      </c>
      <c r="C9" s="44">
        <f>($A9*$A$2)-'Statement of Cash Flows'!$C$39</f>
        <v>26879.236666666664</v>
      </c>
      <c r="D9" s="44">
        <f>($A9*$A$2)-'Statement of Cash Flows'!$D$39</f>
        <v>26879.236666666664</v>
      </c>
      <c r="E9" s="44">
        <f>($A9*$A$2)-'Statement of Cash Flows'!$E$39</f>
        <v>26879.236666666664</v>
      </c>
      <c r="F9" s="44">
        <f>($A9*$A$2)-'Statement of Cash Flows'!$F$39</f>
        <v>26879.236666666664</v>
      </c>
      <c r="G9" s="44">
        <f>($A9*$A$2)-'Statement of Cash Flows'!$G$39</f>
        <v>26879.236666666664</v>
      </c>
      <c r="H9" s="44">
        <f>($A9*$A$2)-'Statement of Cash Flows'!$H$39</f>
        <v>26879.236666666664</v>
      </c>
      <c r="I9" s="44">
        <f>($A9*$A$2)-'Statement of Cash Flows'!$I$39</f>
        <v>26879.236666666664</v>
      </c>
      <c r="J9" s="44">
        <f>($A9*$A$2)-'Statement of Cash Flows'!$J$39</f>
        <v>26879.236666666664</v>
      </c>
      <c r="K9" s="44">
        <f>($A9*$A$2)-'Statement of Cash Flows'!$K$39</f>
        <v>26879.236666666664</v>
      </c>
      <c r="M9" s="45">
        <f t="shared" si="0"/>
        <v>235542.36666666664</v>
      </c>
      <c r="O9" s="62">
        <f>NPV(O4,$B$9,$C$9,$D$9,$E$9,$F$9,$G$9,$H$9,$I$9,$J$9,$K$9)</f>
        <v>208846.98904555026</v>
      </c>
      <c r="P9" s="62">
        <f>NPV(P4,$B$9,$C$9,$D$9,$E$9,$F$9,$G$9,$H$9,$I$9,$J$9,$K$9)</f>
        <v>175887.67397215843</v>
      </c>
      <c r="Q9" s="62">
        <f>NPV(Q4,$B$9,$C$9,$D$9,$E$9,$F$9,$G$9,$H$9,$I$9,$J$9,$K$9)</f>
        <v>157713.7441312185</v>
      </c>
      <c r="R9" s="62">
        <f>NPV(R4,$B$9,$C$9,$D$9,$E$9,$F$9,$G$9,$H$9,$I$9,$J$9,$K$9)</f>
        <v>141997.1530391456</v>
      </c>
    </row>
    <row r="10" spans="1:18" x14ac:dyDescent="0.2">
      <c r="A10" s="33">
        <v>70</v>
      </c>
      <c r="B10" s="44">
        <f>($A10*$A$2)-'Statement of Cash Flows'!$B$39</f>
        <v>4499.236666666664</v>
      </c>
      <c r="C10" s="44">
        <f>($A10*$A$2)-'Statement of Cash Flows'!$C$39</f>
        <v>37749.236666666664</v>
      </c>
      <c r="D10" s="44">
        <f>($A10*$A$2)-'Statement of Cash Flows'!$D$39</f>
        <v>37749.236666666664</v>
      </c>
      <c r="E10" s="44">
        <f>($A10*$A$2)-'Statement of Cash Flows'!$E$39</f>
        <v>37749.236666666664</v>
      </c>
      <c r="F10" s="44">
        <f>($A10*$A$2)-'Statement of Cash Flows'!$F$39</f>
        <v>37749.236666666664</v>
      </c>
      <c r="G10" s="44">
        <f>($A10*$A$2)-'Statement of Cash Flows'!$G$39</f>
        <v>37749.236666666664</v>
      </c>
      <c r="H10" s="44">
        <f>($A10*$A$2)-'Statement of Cash Flows'!$H$39</f>
        <v>37749.236666666664</v>
      </c>
      <c r="I10" s="44">
        <f>($A10*$A$2)-'Statement of Cash Flows'!$I$39</f>
        <v>37749.236666666664</v>
      </c>
      <c r="J10" s="44">
        <f>($A10*$A$2)-'Statement of Cash Flows'!$J$39</f>
        <v>37749.236666666664</v>
      </c>
      <c r="K10" s="44">
        <f>($A10*$A$2)-'Statement of Cash Flows'!$K$39</f>
        <v>37749.236666666664</v>
      </c>
      <c r="M10" s="45">
        <f t="shared" si="0"/>
        <v>344242.3666666667</v>
      </c>
      <c r="O10" s="62">
        <f>NPV(O4,$B$10,$C$10,$D$10,$E$10,$F$10,$G$10,$H$10,$I$10,$J$10,$K$10)</f>
        <v>306487.6880634033</v>
      </c>
      <c r="P10" s="62">
        <f>NPV(P4,$B$10,$C$10,$D$10,$E$10,$F$10,$G$10,$H$10,$I$10,$J$10,$K$10)</f>
        <v>259822.93265239734</v>
      </c>
      <c r="Q10" s="62">
        <f>NPV(Q4,$B$10,$C$10,$D$10,$E$10,$F$10,$G$10,$H$10,$I$10,$J$10,$K$10)</f>
        <v>234060.07548115589</v>
      </c>
      <c r="R10" s="62">
        <f>NPV(R4,$B$10,$C$10,$D$10,$E$10,$F$10,$G$10,$H$10,$I$10,$J$10,$K$10)</f>
        <v>211757.092250744</v>
      </c>
    </row>
    <row r="11" spans="1:18" x14ac:dyDescent="0.2">
      <c r="A11" s="33"/>
      <c r="B11" s="44"/>
      <c r="C11" s="44"/>
      <c r="D11" s="44"/>
      <c r="E11" s="44"/>
      <c r="F11" s="44"/>
      <c r="G11" s="44"/>
      <c r="H11" s="44"/>
      <c r="I11" s="44"/>
      <c r="J11" s="44"/>
      <c r="K11" s="44"/>
      <c r="M11" s="45"/>
    </row>
    <row r="12" spans="1:18" x14ac:dyDescent="0.2">
      <c r="A12" s="33"/>
      <c r="B12" s="44"/>
      <c r="C12" s="44"/>
      <c r="D12" s="44"/>
      <c r="E12" s="44"/>
      <c r="F12" s="44"/>
      <c r="G12" s="44"/>
      <c r="H12" s="44"/>
      <c r="I12" s="44"/>
      <c r="J12" s="44"/>
      <c r="K12" s="44"/>
      <c r="M12" s="45"/>
    </row>
    <row r="13" spans="1:18" x14ac:dyDescent="0.2">
      <c r="A13" s="33"/>
      <c r="B13" s="44"/>
      <c r="C13" s="44"/>
      <c r="D13" s="44"/>
      <c r="E13" s="44"/>
      <c r="F13" s="44"/>
      <c r="G13" s="44"/>
      <c r="H13" s="44"/>
      <c r="I13" s="44"/>
      <c r="J13" s="44"/>
      <c r="K13" s="44"/>
      <c r="M13" s="45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21</vt:i4>
      </vt:variant>
    </vt:vector>
  </HeadingPairs>
  <TitlesOfParts>
    <vt:vector size="26" baseType="lpstr">
      <vt:lpstr>Title</vt:lpstr>
      <vt:lpstr>Help</vt:lpstr>
      <vt:lpstr>Instructions, Costs &amp; Variables</vt:lpstr>
      <vt:lpstr>Statement of Cash Flows</vt:lpstr>
      <vt:lpstr>Price Sensitivity Analysis</vt:lpstr>
      <vt:lpstr>Harvest_Eqt</vt:lpstr>
      <vt:lpstr>Harvest_Labor</vt:lpstr>
      <vt:lpstr>Insert_Pot</vt:lpstr>
      <vt:lpstr>Irrigation</vt:lpstr>
      <vt:lpstr>Irrigation_Total</vt:lpstr>
      <vt:lpstr>Labor</vt:lpstr>
      <vt:lpstr>Liner</vt:lpstr>
      <vt:lpstr>Maintain</vt:lpstr>
      <vt:lpstr>Media</vt:lpstr>
      <vt:lpstr>Media_Cost</vt:lpstr>
      <vt:lpstr>Mkt</vt:lpstr>
      <vt:lpstr>Pesticide</vt:lpstr>
      <vt:lpstr>Plant_Equip</vt:lpstr>
      <vt:lpstr>Plant_Time</vt:lpstr>
      <vt:lpstr>Price</vt:lpstr>
      <vt:lpstr>Prod_Eqt</vt:lpstr>
      <vt:lpstr>Pruning</vt:lpstr>
      <vt:lpstr>Ribbon</vt:lpstr>
      <vt:lpstr>Socket</vt:lpstr>
      <vt:lpstr>Stake</vt:lpstr>
      <vt:lpstr>Trees</vt:lpstr>
    </vt:vector>
  </TitlesOfParts>
  <Company>University of Kentucky / Agricultural Economics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 Hoagland</dc:creator>
  <cp:lastModifiedBy>Tech Bench x64</cp:lastModifiedBy>
  <cp:lastPrinted>2003-06-19T19:10:55Z</cp:lastPrinted>
  <dcterms:created xsi:type="dcterms:W3CDTF">2003-06-11T19:28:03Z</dcterms:created>
  <dcterms:modified xsi:type="dcterms:W3CDTF">2015-10-29T14:05:39Z</dcterms:modified>
</cp:coreProperties>
</file>